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P\Documents\ELWCA\models for loan\"/>
    </mc:Choice>
  </mc:AlternateContent>
  <bookViews>
    <workbookView xWindow="0" yWindow="0" windowWidth="24000" windowHeight="9735" tabRatio="914"/>
  </bookViews>
  <sheets>
    <sheet name="assessment" sheetId="13" r:id="rId1"/>
    <sheet name="income &amp; expenses" sheetId="1" r:id="rId2"/>
    <sheet name="considerations" sheetId="14" r:id="rId3"/>
    <sheet name=" Income 2016" sheetId="7" r:id="rId4"/>
    <sheet name=" Income 2017" sheetId="8" r:id="rId5"/>
    <sheet name=" Income 2018" sheetId="9" r:id="rId6"/>
    <sheet name=" Income 2019" sheetId="10" r:id="rId7"/>
    <sheet name=" Income 2020" sheetId="11" r:id="rId8"/>
    <sheet name=" Income 2021" sheetId="12" r:id="rId9"/>
    <sheet name="Reserve" sheetId="2" r:id="rId10"/>
    <sheet name="Usage fee" sheetId="3" r:id="rId11"/>
    <sheet name="mgmt fee breakdown" sheetId="5" r:id="rId12"/>
  </sheets>
  <definedNames>
    <definedName name="_xlnm.Print_Area" localSheetId="1">'income &amp; expenses'!$A$1:$T$80</definedName>
    <definedName name="_xlnm.Print_Titles" localSheetId="1">'income &amp; expenses'!$A:$B</definedName>
  </definedNames>
  <calcPr calcId="152511"/>
</workbook>
</file>

<file path=xl/calcChain.xml><?xml version="1.0" encoding="utf-8"?>
<calcChain xmlns="http://schemas.openxmlformats.org/spreadsheetml/2006/main">
  <c r="D27" i="13" l="1"/>
  <c r="D28" i="13"/>
  <c r="B23" i="13"/>
  <c r="O72" i="1" l="1"/>
  <c r="N72" i="1"/>
  <c r="M72" i="1"/>
  <c r="C14" i="1"/>
  <c r="C15" i="1"/>
  <c r="C16" i="1"/>
  <c r="C36" i="1"/>
  <c r="C62" i="1" s="1"/>
  <c r="C64" i="1" s="1"/>
  <c r="C60" i="1"/>
  <c r="N75" i="1" l="1"/>
  <c r="R75" i="1"/>
  <c r="S75" i="1" s="1"/>
  <c r="A1" i="13"/>
  <c r="N28" i="1"/>
  <c r="N58" i="1"/>
  <c r="N57" i="1"/>
  <c r="N56" i="1"/>
  <c r="N55" i="1"/>
  <c r="N54" i="1"/>
  <c r="N53" i="1"/>
  <c r="N52" i="1"/>
  <c r="N51" i="1"/>
  <c r="N50" i="1"/>
  <c r="N49" i="1"/>
  <c r="N48" i="1"/>
  <c r="N46" i="1"/>
  <c r="N45" i="1"/>
  <c r="N44" i="1"/>
  <c r="N43" i="1"/>
  <c r="N42" i="1"/>
  <c r="N41" i="1"/>
  <c r="N40" i="1"/>
  <c r="N39" i="1"/>
  <c r="N34" i="1"/>
  <c r="N33" i="1"/>
  <c r="N32" i="1"/>
  <c r="N31" i="1"/>
  <c r="N30" i="1"/>
  <c r="N29" i="1"/>
  <c r="N27" i="1"/>
  <c r="N26" i="1"/>
  <c r="N25" i="1"/>
  <c r="N24" i="1"/>
  <c r="N23" i="1"/>
  <c r="N22" i="1"/>
  <c r="N21" i="1"/>
  <c r="N20" i="1"/>
  <c r="N19" i="1"/>
  <c r="N11" i="1"/>
  <c r="N10" i="1"/>
  <c r="N9" i="1"/>
  <c r="N8" i="1"/>
  <c r="N7" i="1"/>
  <c r="N5" i="1"/>
  <c r="N36" i="1" l="1"/>
  <c r="S78" i="1"/>
  <c r="A1" i="1" l="1"/>
  <c r="A1" i="14"/>
  <c r="O28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O59" i="1"/>
  <c r="P59" i="1" s="1"/>
  <c r="Q59" i="1" s="1"/>
  <c r="R59" i="1" s="1"/>
  <c r="O58" i="1"/>
  <c r="P58" i="1" s="1"/>
  <c r="Q58" i="1" s="1"/>
  <c r="R58" i="1" s="1"/>
  <c r="O57" i="1"/>
  <c r="P57" i="1" s="1"/>
  <c r="Q57" i="1" s="1"/>
  <c r="R57" i="1" s="1"/>
  <c r="O56" i="1"/>
  <c r="P56" i="1" s="1"/>
  <c r="Q56" i="1" s="1"/>
  <c r="R56" i="1" s="1"/>
  <c r="O55" i="1"/>
  <c r="P55" i="1" s="1"/>
  <c r="Q55" i="1" s="1"/>
  <c r="R55" i="1" s="1"/>
  <c r="O54" i="1"/>
  <c r="P54" i="1" s="1"/>
  <c r="Q54" i="1" s="1"/>
  <c r="R54" i="1" s="1"/>
  <c r="O53" i="1"/>
  <c r="P53" i="1" s="1"/>
  <c r="Q53" i="1" s="1"/>
  <c r="R53" i="1" s="1"/>
  <c r="O52" i="1"/>
  <c r="P52" i="1" s="1"/>
  <c r="Q52" i="1" s="1"/>
  <c r="R52" i="1" s="1"/>
  <c r="O51" i="1"/>
  <c r="P51" i="1" s="1"/>
  <c r="Q51" i="1" s="1"/>
  <c r="R51" i="1" s="1"/>
  <c r="O50" i="1"/>
  <c r="P50" i="1" s="1"/>
  <c r="Q50" i="1" s="1"/>
  <c r="R50" i="1" s="1"/>
  <c r="O49" i="1"/>
  <c r="P49" i="1" s="1"/>
  <c r="Q49" i="1" s="1"/>
  <c r="R49" i="1" s="1"/>
  <c r="O48" i="1"/>
  <c r="P48" i="1" s="1"/>
  <c r="Q48" i="1" s="1"/>
  <c r="R48" i="1" s="1"/>
  <c r="O46" i="1"/>
  <c r="P46" i="1" s="1"/>
  <c r="Q46" i="1" s="1"/>
  <c r="R46" i="1" s="1"/>
  <c r="O45" i="1"/>
  <c r="P45" i="1" s="1"/>
  <c r="Q45" i="1" s="1"/>
  <c r="R45" i="1" s="1"/>
  <c r="O44" i="1"/>
  <c r="P44" i="1" s="1"/>
  <c r="Q44" i="1" s="1"/>
  <c r="R44" i="1" s="1"/>
  <c r="O43" i="1"/>
  <c r="P43" i="1" s="1"/>
  <c r="Q43" i="1" s="1"/>
  <c r="R43" i="1" s="1"/>
  <c r="O42" i="1"/>
  <c r="P42" i="1" s="1"/>
  <c r="Q42" i="1" s="1"/>
  <c r="R42" i="1" s="1"/>
  <c r="O39" i="1"/>
  <c r="P39" i="1" s="1"/>
  <c r="Q39" i="1" s="1"/>
  <c r="R39" i="1" s="1"/>
  <c r="B18" i="13" l="1"/>
  <c r="C30" i="2"/>
  <c r="F70" i="1"/>
  <c r="F69" i="1"/>
  <c r="F60" i="1"/>
  <c r="F36" i="1"/>
  <c r="F15" i="1"/>
  <c r="F14" i="1"/>
  <c r="F16" i="1" s="1"/>
  <c r="B30" i="2" s="1"/>
  <c r="F62" i="1" l="1"/>
  <c r="F64" i="1" l="1"/>
  <c r="B31" i="2"/>
  <c r="E19" i="12"/>
  <c r="C19" i="12"/>
  <c r="F19" i="12" s="1"/>
  <c r="E19" i="11"/>
  <c r="C19" i="11"/>
  <c r="F19" i="11" s="1"/>
  <c r="M19" i="11" s="1"/>
  <c r="G24" i="12"/>
  <c r="B21" i="13" l="1"/>
  <c r="B9" i="13"/>
  <c r="B15" i="13" s="1"/>
  <c r="E21" i="12"/>
  <c r="C21" i="12"/>
  <c r="F21" i="12" s="1"/>
  <c r="E21" i="11"/>
  <c r="C21" i="11"/>
  <c r="F21" i="11" s="1"/>
  <c r="F21" i="10"/>
  <c r="E21" i="10"/>
  <c r="C21" i="10"/>
  <c r="F18" i="12"/>
  <c r="E18" i="12"/>
  <c r="C18" i="12"/>
  <c r="E18" i="11"/>
  <c r="C18" i="11"/>
  <c r="F18" i="11" s="1"/>
  <c r="E18" i="10"/>
  <c r="C18" i="10"/>
  <c r="F18" i="10" s="1"/>
  <c r="B19" i="13" l="1"/>
  <c r="N76" i="1"/>
  <c r="S76" i="1" s="1"/>
  <c r="B11" i="13"/>
  <c r="B13" i="13" s="1"/>
  <c r="E7" i="12"/>
  <c r="E7" i="11"/>
  <c r="B27" i="13" l="1"/>
  <c r="B25" i="13"/>
  <c r="D25" i="13" s="1"/>
  <c r="M19" i="9"/>
  <c r="M14" i="9"/>
  <c r="G24" i="9"/>
  <c r="G24" i="10"/>
  <c r="G24" i="11"/>
  <c r="E16" i="12"/>
  <c r="E16" i="11"/>
  <c r="E16" i="10"/>
  <c r="E10" i="12"/>
  <c r="E10" i="11"/>
  <c r="E10" i="10"/>
  <c r="E14" i="12"/>
  <c r="E12" i="12"/>
  <c r="E12" i="11"/>
  <c r="E20" i="12"/>
  <c r="E20" i="11"/>
  <c r="G39" i="3"/>
  <c r="F39" i="3"/>
  <c r="G20" i="1"/>
  <c r="D29" i="13" l="1"/>
  <c r="F71" i="12"/>
  <c r="F71" i="11"/>
  <c r="F71" i="10"/>
  <c r="F71" i="9"/>
  <c r="F71" i="8"/>
  <c r="D31" i="13" l="1"/>
  <c r="N77" i="1"/>
  <c r="S77" i="1" s="1"/>
  <c r="O34" i="1"/>
  <c r="P34" i="1" s="1"/>
  <c r="Q34" i="1" s="1"/>
  <c r="R34" i="1" s="1"/>
  <c r="O32" i="1"/>
  <c r="P32" i="1" s="1"/>
  <c r="Q32" i="1" s="1"/>
  <c r="R32" i="1" s="1"/>
  <c r="O31" i="1"/>
  <c r="P31" i="1" s="1"/>
  <c r="Q31" i="1" s="1"/>
  <c r="R31" i="1" s="1"/>
  <c r="O30" i="1"/>
  <c r="P30" i="1" s="1"/>
  <c r="Q30" i="1" s="1"/>
  <c r="R30" i="1" s="1"/>
  <c r="O24" i="1"/>
  <c r="P24" i="1" s="1"/>
  <c r="Q24" i="1" s="1"/>
  <c r="R24" i="1" s="1"/>
  <c r="O23" i="1"/>
  <c r="P23" i="1" s="1"/>
  <c r="Q23" i="1" s="1"/>
  <c r="R23" i="1" s="1"/>
  <c r="O21" i="1"/>
  <c r="P21" i="1" s="1"/>
  <c r="Q21" i="1" s="1"/>
  <c r="R21" i="1" s="1"/>
  <c r="P19" i="1"/>
  <c r="Q19" i="1" s="1"/>
  <c r="R19" i="1" s="1"/>
  <c r="O19" i="1"/>
  <c r="D31" i="2"/>
  <c r="M13" i="1" l="1"/>
  <c r="M47" i="1"/>
  <c r="M67" i="1"/>
  <c r="M66" i="1"/>
  <c r="C26" i="9"/>
  <c r="C65" i="9" s="1"/>
  <c r="F65" i="9" s="1"/>
  <c r="C2" i="9"/>
  <c r="C21" i="9" s="1"/>
  <c r="F21" i="9" s="1"/>
  <c r="B66" i="12"/>
  <c r="E26" i="12"/>
  <c r="E65" i="12" s="1"/>
  <c r="B24" i="12"/>
  <c r="B68" i="12" s="1"/>
  <c r="E23" i="12"/>
  <c r="E17" i="12"/>
  <c r="E15" i="12"/>
  <c r="E9" i="12"/>
  <c r="B66" i="11"/>
  <c r="E26" i="11"/>
  <c r="E65" i="11" s="1"/>
  <c r="B24" i="11"/>
  <c r="B68" i="11" s="1"/>
  <c r="E23" i="11"/>
  <c r="E17" i="11"/>
  <c r="E15" i="11"/>
  <c r="E14" i="11"/>
  <c r="E9" i="11"/>
  <c r="B66" i="10"/>
  <c r="E26" i="10"/>
  <c r="E65" i="10" s="1"/>
  <c r="B24" i="10"/>
  <c r="B68" i="10" s="1"/>
  <c r="E23" i="10"/>
  <c r="E20" i="10"/>
  <c r="E19" i="10"/>
  <c r="E17" i="10"/>
  <c r="E15" i="10"/>
  <c r="E14" i="10"/>
  <c r="E12" i="10"/>
  <c r="E9" i="10"/>
  <c r="E7" i="10"/>
  <c r="B66" i="9"/>
  <c r="E26" i="9"/>
  <c r="E65" i="9" s="1"/>
  <c r="B24" i="9"/>
  <c r="B68" i="9" s="1"/>
  <c r="E23" i="9"/>
  <c r="E21" i="9"/>
  <c r="E20" i="9"/>
  <c r="E19" i="9"/>
  <c r="E18" i="9"/>
  <c r="E17" i="9"/>
  <c r="E16" i="9"/>
  <c r="E15" i="9"/>
  <c r="E14" i="9"/>
  <c r="E12" i="9"/>
  <c r="E10" i="9"/>
  <c r="E9" i="9"/>
  <c r="E7" i="9"/>
  <c r="C64" i="8"/>
  <c r="F64" i="8" s="1"/>
  <c r="C21" i="8"/>
  <c r="F21" i="8" s="1"/>
  <c r="B66" i="8"/>
  <c r="C65" i="8"/>
  <c r="F65" i="8" s="1"/>
  <c r="C62" i="8"/>
  <c r="F62" i="8" s="1"/>
  <c r="C61" i="8"/>
  <c r="F61" i="8" s="1"/>
  <c r="C58" i="8"/>
  <c r="F58" i="8" s="1"/>
  <c r="C57" i="8"/>
  <c r="F57" i="8" s="1"/>
  <c r="C54" i="8"/>
  <c r="F54" i="8" s="1"/>
  <c r="C53" i="8"/>
  <c r="F53" i="8" s="1"/>
  <c r="C50" i="8"/>
  <c r="F50" i="8" s="1"/>
  <c r="C49" i="8"/>
  <c r="F49" i="8" s="1"/>
  <c r="C46" i="8"/>
  <c r="F46" i="8" s="1"/>
  <c r="C45" i="8"/>
  <c r="F45" i="8" s="1"/>
  <c r="C42" i="8"/>
  <c r="F42" i="8" s="1"/>
  <c r="C41" i="8"/>
  <c r="F41" i="8" s="1"/>
  <c r="C38" i="8"/>
  <c r="F38" i="8" s="1"/>
  <c r="C37" i="8"/>
  <c r="F37" i="8" s="1"/>
  <c r="C34" i="8"/>
  <c r="F34" i="8" s="1"/>
  <c r="C33" i="8"/>
  <c r="F33" i="8" s="1"/>
  <c r="C30" i="8"/>
  <c r="F30" i="8" s="1"/>
  <c r="C29" i="8"/>
  <c r="F29" i="8" s="1"/>
  <c r="E26" i="8"/>
  <c r="E65" i="8" s="1"/>
  <c r="B24" i="8"/>
  <c r="B68" i="8" s="1"/>
  <c r="E23" i="8"/>
  <c r="E21" i="8"/>
  <c r="E20" i="8"/>
  <c r="E19" i="8"/>
  <c r="E18" i="8"/>
  <c r="E17" i="8"/>
  <c r="E16" i="8"/>
  <c r="E15" i="8"/>
  <c r="E14" i="8"/>
  <c r="E12" i="8"/>
  <c r="E10" i="8"/>
  <c r="E9" i="8"/>
  <c r="E7" i="8"/>
  <c r="L67" i="1"/>
  <c r="L66" i="1"/>
  <c r="M69" i="1" s="1"/>
  <c r="L4" i="1"/>
  <c r="L1" i="1" s="1"/>
  <c r="F72" i="7"/>
  <c r="F71" i="7"/>
  <c r="B66" i="7"/>
  <c r="F65" i="7"/>
  <c r="C65" i="7"/>
  <c r="F64" i="7"/>
  <c r="C64" i="7"/>
  <c r="F63" i="7"/>
  <c r="C63" i="7"/>
  <c r="F62" i="7"/>
  <c r="C62" i="7"/>
  <c r="F61" i="7"/>
  <c r="C61" i="7"/>
  <c r="F60" i="7"/>
  <c r="C60" i="7"/>
  <c r="F59" i="7"/>
  <c r="C59" i="7"/>
  <c r="F58" i="7"/>
  <c r="C58" i="7"/>
  <c r="F57" i="7"/>
  <c r="C57" i="7"/>
  <c r="F56" i="7"/>
  <c r="C56" i="7"/>
  <c r="F55" i="7"/>
  <c r="C55" i="7"/>
  <c r="F54" i="7"/>
  <c r="C54" i="7"/>
  <c r="F53" i="7"/>
  <c r="C53" i="7"/>
  <c r="F52" i="7"/>
  <c r="C52" i="7"/>
  <c r="F51" i="7"/>
  <c r="C51" i="7"/>
  <c r="F50" i="7"/>
  <c r="C50" i="7"/>
  <c r="F49" i="7"/>
  <c r="C49" i="7"/>
  <c r="F48" i="7"/>
  <c r="C48" i="7"/>
  <c r="F47" i="7"/>
  <c r="C47" i="7"/>
  <c r="F46" i="7"/>
  <c r="C46" i="7"/>
  <c r="F45" i="7"/>
  <c r="C45" i="7"/>
  <c r="F44" i="7"/>
  <c r="C44" i="7"/>
  <c r="F43" i="7"/>
  <c r="C43" i="7"/>
  <c r="F42" i="7"/>
  <c r="C42" i="7"/>
  <c r="F41" i="7"/>
  <c r="C41" i="7"/>
  <c r="F40" i="7"/>
  <c r="C40" i="7"/>
  <c r="F39" i="7"/>
  <c r="C39" i="7"/>
  <c r="F38" i="7"/>
  <c r="C38" i="7"/>
  <c r="F37" i="7"/>
  <c r="C37" i="7"/>
  <c r="F36" i="7"/>
  <c r="C36" i="7"/>
  <c r="F35" i="7"/>
  <c r="C35" i="7"/>
  <c r="F34" i="7"/>
  <c r="C34" i="7"/>
  <c r="F33" i="7"/>
  <c r="C33" i="7"/>
  <c r="F32" i="7"/>
  <c r="C32" i="7"/>
  <c r="F31" i="7"/>
  <c r="C31" i="7"/>
  <c r="F30" i="7"/>
  <c r="C30" i="7"/>
  <c r="F29" i="7"/>
  <c r="F66" i="7" s="1"/>
  <c r="C29" i="7"/>
  <c r="C66" i="7" s="1"/>
  <c r="E26" i="7"/>
  <c r="E65" i="7" s="1"/>
  <c r="D24" i="7"/>
  <c r="C24" i="7"/>
  <c r="C68" i="7" s="1"/>
  <c r="B24" i="7"/>
  <c r="B68" i="7" s="1"/>
  <c r="E23" i="7"/>
  <c r="D23" i="7"/>
  <c r="C23" i="7"/>
  <c r="F23" i="7" s="1"/>
  <c r="E21" i="7"/>
  <c r="D21" i="7"/>
  <c r="C21" i="7"/>
  <c r="F21" i="7" s="1"/>
  <c r="E20" i="7"/>
  <c r="D20" i="7"/>
  <c r="C20" i="7"/>
  <c r="F20" i="7" s="1"/>
  <c r="E19" i="7"/>
  <c r="D19" i="7"/>
  <c r="C19" i="7"/>
  <c r="F19" i="7" s="1"/>
  <c r="E18" i="7"/>
  <c r="D18" i="7"/>
  <c r="C18" i="7"/>
  <c r="F18" i="7" s="1"/>
  <c r="E17" i="7"/>
  <c r="D17" i="7"/>
  <c r="C17" i="7"/>
  <c r="F17" i="7" s="1"/>
  <c r="E16" i="7"/>
  <c r="D16" i="7"/>
  <c r="C16" i="7"/>
  <c r="F16" i="7" s="1"/>
  <c r="E15" i="7"/>
  <c r="D15" i="7"/>
  <c r="C15" i="7"/>
  <c r="F15" i="7" s="1"/>
  <c r="E14" i="7"/>
  <c r="D14" i="7"/>
  <c r="C14" i="7"/>
  <c r="F14" i="7" s="1"/>
  <c r="E12" i="7"/>
  <c r="D12" i="7"/>
  <c r="C12" i="7"/>
  <c r="F12" i="7" s="1"/>
  <c r="E10" i="7"/>
  <c r="D10" i="7"/>
  <c r="C10" i="7"/>
  <c r="F10" i="7" s="1"/>
  <c r="E9" i="7"/>
  <c r="D9" i="7"/>
  <c r="C9" i="7"/>
  <c r="F9" i="7" s="1"/>
  <c r="E7" i="7"/>
  <c r="E24" i="7" s="1"/>
  <c r="D7" i="7"/>
  <c r="C7" i="7"/>
  <c r="F7" i="7" s="1"/>
  <c r="D2" i="7"/>
  <c r="G14" i="1"/>
  <c r="G15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J37" i="3"/>
  <c r="I37" i="3"/>
  <c r="H37" i="3"/>
  <c r="G37" i="3"/>
  <c r="F37" i="3"/>
  <c r="E37" i="3"/>
  <c r="J70" i="1"/>
  <c r="J69" i="1"/>
  <c r="O13" i="1"/>
  <c r="F72" i="9" s="1"/>
  <c r="L14" i="1"/>
  <c r="L15" i="1"/>
  <c r="M15" i="1"/>
  <c r="N15" i="1" s="1"/>
  <c r="O15" i="1"/>
  <c r="P15" i="1"/>
  <c r="Q15" i="1"/>
  <c r="R15" i="1"/>
  <c r="L23" i="1"/>
  <c r="L25" i="1"/>
  <c r="L28" i="1"/>
  <c r="L29" i="1"/>
  <c r="O29" i="1" s="1"/>
  <c r="P29" i="1" s="1"/>
  <c r="Q29" i="1" s="1"/>
  <c r="R29" i="1" s="1"/>
  <c r="L31" i="1"/>
  <c r="L40" i="1"/>
  <c r="E35" i="3" s="1"/>
  <c r="O40" i="1"/>
  <c r="L42" i="1"/>
  <c r="L45" i="1"/>
  <c r="E36" i="3" s="1"/>
  <c r="J36" i="3"/>
  <c r="L53" i="1"/>
  <c r="L54" i="1"/>
  <c r="M60" i="1"/>
  <c r="F33" i="3" s="1"/>
  <c r="H15" i="1"/>
  <c r="H14" i="1"/>
  <c r="H13" i="1"/>
  <c r="H12" i="1"/>
  <c r="H11" i="1"/>
  <c r="H10" i="1"/>
  <c r="H9" i="1"/>
  <c r="H8" i="1"/>
  <c r="H7" i="1"/>
  <c r="H6" i="1"/>
  <c r="H5" i="1"/>
  <c r="H4" i="1"/>
  <c r="N47" i="1" l="1"/>
  <c r="N60" i="1" s="1"/>
  <c r="N62" i="1" s="1"/>
  <c r="O47" i="1"/>
  <c r="P47" i="1" s="1"/>
  <c r="Q47" i="1" s="1"/>
  <c r="R47" i="1" s="1"/>
  <c r="N13" i="1"/>
  <c r="F72" i="8"/>
  <c r="E54" i="10"/>
  <c r="E30" i="10"/>
  <c r="E38" i="10"/>
  <c r="E46" i="10"/>
  <c r="E32" i="10"/>
  <c r="E40" i="10"/>
  <c r="E48" i="10"/>
  <c r="E33" i="10"/>
  <c r="E41" i="10"/>
  <c r="E49" i="10"/>
  <c r="E35" i="10"/>
  <c r="E43" i="10"/>
  <c r="E51" i="10"/>
  <c r="E24" i="10"/>
  <c r="C32" i="9"/>
  <c r="F32" i="9" s="1"/>
  <c r="C36" i="9"/>
  <c r="F36" i="9" s="1"/>
  <c r="C44" i="9"/>
  <c r="F44" i="9" s="1"/>
  <c r="C48" i="9"/>
  <c r="F48" i="9" s="1"/>
  <c r="C56" i="9"/>
  <c r="F56" i="9" s="1"/>
  <c r="C64" i="9"/>
  <c r="F64" i="9" s="1"/>
  <c r="O67" i="1"/>
  <c r="O70" i="1" s="1"/>
  <c r="C29" i="9"/>
  <c r="F29" i="9" s="1"/>
  <c r="C33" i="9"/>
  <c r="F33" i="9" s="1"/>
  <c r="C37" i="9"/>
  <c r="F37" i="9" s="1"/>
  <c r="C41" i="9"/>
  <c r="F41" i="9" s="1"/>
  <c r="C45" i="9"/>
  <c r="F45" i="9" s="1"/>
  <c r="C49" i="9"/>
  <c r="F49" i="9" s="1"/>
  <c r="C53" i="9"/>
  <c r="F53" i="9" s="1"/>
  <c r="C57" i="9"/>
  <c r="F57" i="9" s="1"/>
  <c r="C61" i="9"/>
  <c r="F61" i="9" s="1"/>
  <c r="C26" i="10"/>
  <c r="C64" i="10" s="1"/>
  <c r="F64" i="10" s="1"/>
  <c r="C40" i="9"/>
  <c r="F40" i="9" s="1"/>
  <c r="C52" i="9"/>
  <c r="F52" i="9" s="1"/>
  <c r="C60" i="9"/>
  <c r="F60" i="9" s="1"/>
  <c r="C30" i="9"/>
  <c r="F30" i="9" s="1"/>
  <c r="C34" i="9"/>
  <c r="F34" i="9" s="1"/>
  <c r="C38" i="9"/>
  <c r="F38" i="9" s="1"/>
  <c r="C42" i="9"/>
  <c r="F42" i="9" s="1"/>
  <c r="C46" i="9"/>
  <c r="F46" i="9" s="1"/>
  <c r="C50" i="9"/>
  <c r="F50" i="9" s="1"/>
  <c r="C54" i="9"/>
  <c r="F54" i="9" s="1"/>
  <c r="C58" i="9"/>
  <c r="F58" i="9" s="1"/>
  <c r="C62" i="9"/>
  <c r="F62" i="9" s="1"/>
  <c r="D26" i="9"/>
  <c r="D62" i="9" s="1"/>
  <c r="C31" i="9"/>
  <c r="F31" i="9" s="1"/>
  <c r="C35" i="9"/>
  <c r="F35" i="9" s="1"/>
  <c r="C39" i="9"/>
  <c r="F39" i="9" s="1"/>
  <c r="C43" i="9"/>
  <c r="F43" i="9" s="1"/>
  <c r="C47" i="9"/>
  <c r="F47" i="9" s="1"/>
  <c r="C51" i="9"/>
  <c r="F51" i="9" s="1"/>
  <c r="C55" i="9"/>
  <c r="F55" i="9" s="1"/>
  <c r="C59" i="9"/>
  <c r="F59" i="9" s="1"/>
  <c r="C63" i="9"/>
  <c r="F63" i="9" s="1"/>
  <c r="C14" i="9"/>
  <c r="F14" i="9" s="1"/>
  <c r="C23" i="9"/>
  <c r="F23" i="9" s="1"/>
  <c r="C7" i="9"/>
  <c r="F7" i="9" s="1"/>
  <c r="C18" i="9"/>
  <c r="F18" i="9" s="1"/>
  <c r="C16" i="9"/>
  <c r="F16" i="9" s="1"/>
  <c r="D2" i="9"/>
  <c r="C10" i="9"/>
  <c r="F10" i="9" s="1"/>
  <c r="C20" i="9"/>
  <c r="F20" i="9" s="1"/>
  <c r="C2" i="10"/>
  <c r="P66" i="1" s="1"/>
  <c r="O66" i="1"/>
  <c r="O69" i="1" s="1"/>
  <c r="E24" i="9"/>
  <c r="E24" i="12"/>
  <c r="E24" i="11"/>
  <c r="E31" i="10"/>
  <c r="E36" i="10"/>
  <c r="E39" i="10"/>
  <c r="E44" i="10"/>
  <c r="E47" i="10"/>
  <c r="E52" i="10"/>
  <c r="E55" i="10"/>
  <c r="E29" i="10"/>
  <c r="E34" i="10"/>
  <c r="E37" i="10"/>
  <c r="E42" i="10"/>
  <c r="E45" i="10"/>
  <c r="E50" i="10"/>
  <c r="E53" i="10"/>
  <c r="E30" i="9"/>
  <c r="E32" i="9"/>
  <c r="E29" i="9"/>
  <c r="E31" i="9"/>
  <c r="F35" i="3"/>
  <c r="F41" i="3" s="1"/>
  <c r="I36" i="3"/>
  <c r="P28" i="1"/>
  <c r="Q28" i="1" s="1"/>
  <c r="M36" i="1"/>
  <c r="M62" i="1" s="1"/>
  <c r="P40" i="1"/>
  <c r="P60" i="1" s="1"/>
  <c r="H33" i="3" s="1"/>
  <c r="G35" i="3"/>
  <c r="F36" i="3"/>
  <c r="G36" i="3"/>
  <c r="H36" i="3"/>
  <c r="C9" i="9"/>
  <c r="F9" i="9" s="1"/>
  <c r="C12" i="9"/>
  <c r="F12" i="9" s="1"/>
  <c r="C15" i="9"/>
  <c r="F15" i="9" s="1"/>
  <c r="C17" i="9"/>
  <c r="F17" i="9" s="1"/>
  <c r="C19" i="9"/>
  <c r="F19" i="9" s="1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56" i="10"/>
  <c r="E57" i="10"/>
  <c r="E58" i="10"/>
  <c r="E59" i="10"/>
  <c r="E60" i="10"/>
  <c r="E61" i="10"/>
  <c r="E62" i="10"/>
  <c r="E63" i="10"/>
  <c r="E64" i="10"/>
  <c r="D23" i="9"/>
  <c r="D21" i="9"/>
  <c r="D20" i="9"/>
  <c r="D19" i="9"/>
  <c r="D18" i="9"/>
  <c r="D17" i="9"/>
  <c r="D16" i="9"/>
  <c r="D15" i="9"/>
  <c r="D14" i="9"/>
  <c r="D12" i="9"/>
  <c r="D10" i="9"/>
  <c r="D9" i="9"/>
  <c r="D7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C31" i="8"/>
  <c r="F31" i="8" s="1"/>
  <c r="C35" i="8"/>
  <c r="F35" i="8" s="1"/>
  <c r="C39" i="8"/>
  <c r="F39" i="8" s="1"/>
  <c r="C43" i="8"/>
  <c r="F43" i="8" s="1"/>
  <c r="C47" i="8"/>
  <c r="F47" i="8" s="1"/>
  <c r="C51" i="8"/>
  <c r="F51" i="8" s="1"/>
  <c r="C55" i="8"/>
  <c r="F55" i="8" s="1"/>
  <c r="C59" i="8"/>
  <c r="F59" i="8" s="1"/>
  <c r="C63" i="8"/>
  <c r="F63" i="8" s="1"/>
  <c r="C32" i="8"/>
  <c r="F32" i="8" s="1"/>
  <c r="C36" i="8"/>
  <c r="F36" i="8" s="1"/>
  <c r="C40" i="8"/>
  <c r="F40" i="8" s="1"/>
  <c r="C44" i="8"/>
  <c r="F44" i="8" s="1"/>
  <c r="C48" i="8"/>
  <c r="F48" i="8" s="1"/>
  <c r="C52" i="8"/>
  <c r="F52" i="8" s="1"/>
  <c r="C56" i="8"/>
  <c r="F56" i="8" s="1"/>
  <c r="C60" i="8"/>
  <c r="F60" i="8" s="1"/>
  <c r="D2" i="8"/>
  <c r="D23" i="8" s="1"/>
  <c r="C9" i="8"/>
  <c r="F9" i="8" s="1"/>
  <c r="C15" i="8"/>
  <c r="F15" i="8" s="1"/>
  <c r="C19" i="8"/>
  <c r="F19" i="8" s="1"/>
  <c r="C7" i="8"/>
  <c r="C14" i="8"/>
  <c r="F14" i="8" s="1"/>
  <c r="C18" i="8"/>
  <c r="F18" i="8" s="1"/>
  <c r="C23" i="8"/>
  <c r="F23" i="8" s="1"/>
  <c r="C10" i="8"/>
  <c r="F10" i="8" s="1"/>
  <c r="C16" i="8"/>
  <c r="F16" i="8" s="1"/>
  <c r="C20" i="8"/>
  <c r="F20" i="8" s="1"/>
  <c r="C12" i="8"/>
  <c r="F12" i="8" s="1"/>
  <c r="C17" i="8"/>
  <c r="F17" i="8" s="1"/>
  <c r="E29" i="8"/>
  <c r="E37" i="8"/>
  <c r="E35" i="8"/>
  <c r="E43" i="8"/>
  <c r="E24" i="8"/>
  <c r="E33" i="8"/>
  <c r="E41" i="8"/>
  <c r="E31" i="8"/>
  <c r="E39" i="8"/>
  <c r="D26" i="8"/>
  <c r="D65" i="8" s="1"/>
  <c r="E30" i="8"/>
  <c r="E32" i="8"/>
  <c r="E34" i="8"/>
  <c r="E36" i="8"/>
  <c r="E38" i="8"/>
  <c r="E40" i="8"/>
  <c r="E42" i="8"/>
  <c r="E44" i="8"/>
  <c r="D9" i="8"/>
  <c r="D10" i="8"/>
  <c r="D15" i="8"/>
  <c r="D16" i="8"/>
  <c r="D19" i="8"/>
  <c r="D20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F24" i="7"/>
  <c r="F68" i="7" s="1"/>
  <c r="D26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M70" i="1"/>
  <c r="L70" i="1"/>
  <c r="L69" i="1"/>
  <c r="P13" i="1"/>
  <c r="F72" i="10" s="1"/>
  <c r="L60" i="1"/>
  <c r="L36" i="1"/>
  <c r="O60" i="1"/>
  <c r="G33" i="3" s="1"/>
  <c r="O36" i="1"/>
  <c r="H39" i="3"/>
  <c r="I39" i="3" s="1"/>
  <c r="J39" i="3" s="1"/>
  <c r="D15" i="1"/>
  <c r="D14" i="1"/>
  <c r="I47" i="1"/>
  <c r="K47" i="1" s="1"/>
  <c r="E15" i="1"/>
  <c r="D35" i="9" l="1"/>
  <c r="D45" i="9"/>
  <c r="D56" i="9"/>
  <c r="D39" i="9"/>
  <c r="D49" i="9"/>
  <c r="D60" i="9"/>
  <c r="D29" i="9"/>
  <c r="D40" i="9"/>
  <c r="D51" i="9"/>
  <c r="D61" i="9"/>
  <c r="D33" i="9"/>
  <c r="D44" i="9"/>
  <c r="D55" i="9"/>
  <c r="D65" i="9"/>
  <c r="D31" i="9"/>
  <c r="D36" i="9"/>
  <c r="D41" i="9"/>
  <c r="D47" i="9"/>
  <c r="D52" i="9"/>
  <c r="D57" i="9"/>
  <c r="D63" i="9"/>
  <c r="D32" i="9"/>
  <c r="D37" i="9"/>
  <c r="D43" i="9"/>
  <c r="D48" i="9"/>
  <c r="D53" i="9"/>
  <c r="D59" i="9"/>
  <c r="D64" i="9"/>
  <c r="M24" i="9"/>
  <c r="P69" i="1"/>
  <c r="C41" i="10"/>
  <c r="F41" i="10" s="1"/>
  <c r="C63" i="10"/>
  <c r="F63" i="10" s="1"/>
  <c r="C39" i="10"/>
  <c r="F39" i="10" s="1"/>
  <c r="C65" i="10"/>
  <c r="F65" i="10" s="1"/>
  <c r="C58" i="10"/>
  <c r="F58" i="10" s="1"/>
  <c r="C46" i="10"/>
  <c r="F46" i="10" s="1"/>
  <c r="C55" i="10"/>
  <c r="F55" i="10" s="1"/>
  <c r="C61" i="10"/>
  <c r="F61" i="10" s="1"/>
  <c r="C49" i="10"/>
  <c r="F49" i="10" s="1"/>
  <c r="C33" i="10"/>
  <c r="F33" i="10" s="1"/>
  <c r="C44" i="10"/>
  <c r="F44" i="10" s="1"/>
  <c r="C40" i="10"/>
  <c r="F40" i="10" s="1"/>
  <c r="C34" i="10"/>
  <c r="F34" i="10" s="1"/>
  <c r="C47" i="10"/>
  <c r="F47" i="10" s="1"/>
  <c r="C31" i="10"/>
  <c r="F31" i="10" s="1"/>
  <c r="C36" i="10"/>
  <c r="F36" i="10" s="1"/>
  <c r="C32" i="10"/>
  <c r="F32" i="10" s="1"/>
  <c r="C60" i="10"/>
  <c r="F60" i="10" s="1"/>
  <c r="F66" i="9"/>
  <c r="D30" i="9"/>
  <c r="D34" i="9"/>
  <c r="D38" i="9"/>
  <c r="D42" i="9"/>
  <c r="D46" i="9"/>
  <c r="D50" i="9"/>
  <c r="D54" i="9"/>
  <c r="D58" i="9"/>
  <c r="C59" i="10"/>
  <c r="F59" i="10" s="1"/>
  <c r="C53" i="10"/>
  <c r="F53" i="10" s="1"/>
  <c r="C45" i="10"/>
  <c r="F45" i="10" s="1"/>
  <c r="C37" i="10"/>
  <c r="F37" i="10" s="1"/>
  <c r="C29" i="10"/>
  <c r="F29" i="10" s="1"/>
  <c r="C57" i="10"/>
  <c r="F57" i="10" s="1"/>
  <c r="P67" i="1"/>
  <c r="P70" i="1" s="1"/>
  <c r="C56" i="10"/>
  <c r="F56" i="10" s="1"/>
  <c r="D26" i="10"/>
  <c r="D60" i="10" s="1"/>
  <c r="C50" i="10"/>
  <c r="F50" i="10" s="1"/>
  <c r="C38" i="10"/>
  <c r="F38" i="10" s="1"/>
  <c r="C62" i="10"/>
  <c r="F62" i="10" s="1"/>
  <c r="C51" i="10"/>
  <c r="F51" i="10" s="1"/>
  <c r="C43" i="10"/>
  <c r="F43" i="10" s="1"/>
  <c r="C35" i="10"/>
  <c r="F35" i="10" s="1"/>
  <c r="C52" i="10"/>
  <c r="F52" i="10" s="1"/>
  <c r="C26" i="11"/>
  <c r="D26" i="11" s="1"/>
  <c r="D60" i="11" s="1"/>
  <c r="C48" i="10"/>
  <c r="F48" i="10" s="1"/>
  <c r="C54" i="10"/>
  <c r="F54" i="10" s="1"/>
  <c r="C42" i="10"/>
  <c r="F42" i="10" s="1"/>
  <c r="C30" i="10"/>
  <c r="F30" i="10" s="1"/>
  <c r="C12" i="10"/>
  <c r="F12" i="10" s="1"/>
  <c r="D2" i="10"/>
  <c r="D7" i="10" s="1"/>
  <c r="C14" i="10"/>
  <c r="F14" i="10" s="1"/>
  <c r="M14" i="10" s="1"/>
  <c r="C19" i="10"/>
  <c r="F19" i="10" s="1"/>
  <c r="M19" i="10" s="1"/>
  <c r="C9" i="10"/>
  <c r="F9" i="10" s="1"/>
  <c r="C7" i="10"/>
  <c r="F7" i="10" s="1"/>
  <c r="M7" i="10" s="1"/>
  <c r="M24" i="10" s="1"/>
  <c r="C17" i="10"/>
  <c r="F17" i="10" s="1"/>
  <c r="C23" i="10"/>
  <c r="F23" i="10" s="1"/>
  <c r="C16" i="10"/>
  <c r="F16" i="10" s="1"/>
  <c r="C10" i="10"/>
  <c r="F10" i="10" s="1"/>
  <c r="C20" i="10"/>
  <c r="F20" i="10" s="1"/>
  <c r="C2" i="11"/>
  <c r="C15" i="10"/>
  <c r="F15" i="10" s="1"/>
  <c r="F75" i="8"/>
  <c r="F66" i="8"/>
  <c r="C66" i="9"/>
  <c r="D18" i="8"/>
  <c r="D14" i="8"/>
  <c r="D7" i="8"/>
  <c r="D21" i="8"/>
  <c r="D17" i="8"/>
  <c r="D12" i="8"/>
  <c r="E66" i="10"/>
  <c r="E68" i="10" s="1"/>
  <c r="P6" i="1" s="1"/>
  <c r="P14" i="1" s="1"/>
  <c r="E66" i="9"/>
  <c r="E68" i="9" s="1"/>
  <c r="O6" i="1" s="1"/>
  <c r="O14" i="1" s="1"/>
  <c r="P36" i="1"/>
  <c r="P62" i="1" s="1"/>
  <c r="F75" i="10" s="1"/>
  <c r="O62" i="1"/>
  <c r="F75" i="9" s="1"/>
  <c r="Q40" i="1"/>
  <c r="Q60" i="1" s="1"/>
  <c r="I33" i="3" s="1"/>
  <c r="H35" i="3"/>
  <c r="C24" i="9"/>
  <c r="F24" i="9" s="1"/>
  <c r="F68" i="9" s="1"/>
  <c r="E66" i="12"/>
  <c r="E68" i="12" s="1"/>
  <c r="R6" i="1" s="1"/>
  <c r="R14" i="1" s="1"/>
  <c r="E66" i="11"/>
  <c r="E68" i="11" s="1"/>
  <c r="Q6" i="1" s="1"/>
  <c r="Q14" i="1" s="1"/>
  <c r="D24" i="9"/>
  <c r="C66" i="8"/>
  <c r="D54" i="8"/>
  <c r="C24" i="8"/>
  <c r="F24" i="8" s="1"/>
  <c r="F68" i="8" s="1"/>
  <c r="F7" i="8"/>
  <c r="D50" i="8"/>
  <c r="D34" i="8"/>
  <c r="D62" i="8"/>
  <c r="D46" i="8"/>
  <c r="D38" i="8"/>
  <c r="D58" i="8"/>
  <c r="D42" i="8"/>
  <c r="D30" i="8"/>
  <c r="D61" i="8"/>
  <c r="D57" i="8"/>
  <c r="D53" i="8"/>
  <c r="D49" i="8"/>
  <c r="D45" i="8"/>
  <c r="D41" i="8"/>
  <c r="D37" i="8"/>
  <c r="D33" i="8"/>
  <c r="D29" i="8"/>
  <c r="D64" i="8"/>
  <c r="D60" i="8"/>
  <c r="D56" i="8"/>
  <c r="D52" i="8"/>
  <c r="D48" i="8"/>
  <c r="D44" i="8"/>
  <c r="D40" i="8"/>
  <c r="D36" i="8"/>
  <c r="D32" i="8"/>
  <c r="D63" i="8"/>
  <c r="D59" i="8"/>
  <c r="D55" i="8"/>
  <c r="D51" i="8"/>
  <c r="D47" i="8"/>
  <c r="D43" i="8"/>
  <c r="D39" i="8"/>
  <c r="D35" i="8"/>
  <c r="D31" i="8"/>
  <c r="E66" i="8"/>
  <c r="E68" i="8" s="1"/>
  <c r="M6" i="1" s="1"/>
  <c r="N6" i="1" s="1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E66" i="7"/>
  <c r="E68" i="7" s="1"/>
  <c r="E33" i="3"/>
  <c r="Q13" i="1"/>
  <c r="F72" i="11" s="1"/>
  <c r="L62" i="1"/>
  <c r="R28" i="1"/>
  <c r="R36" i="1" s="1"/>
  <c r="Q36" i="1"/>
  <c r="F43" i="3"/>
  <c r="F46" i="3" s="1"/>
  <c r="F47" i="3" s="1"/>
  <c r="F50" i="3" s="1"/>
  <c r="M12" i="1" s="1"/>
  <c r="E60" i="1"/>
  <c r="D60" i="1"/>
  <c r="E36" i="1"/>
  <c r="D36" i="1"/>
  <c r="D16" i="1"/>
  <c r="E14" i="1"/>
  <c r="E16" i="1" s="1"/>
  <c r="F73" i="8" l="1"/>
  <c r="N12" i="1"/>
  <c r="D24" i="8"/>
  <c r="D21" i="10"/>
  <c r="D18" i="10"/>
  <c r="D19" i="10"/>
  <c r="D17" i="10"/>
  <c r="D9" i="10"/>
  <c r="C17" i="11"/>
  <c r="F17" i="11" s="1"/>
  <c r="C7" i="11"/>
  <c r="F7" i="11" s="1"/>
  <c r="M7" i="11" s="1"/>
  <c r="D29" i="10"/>
  <c r="D39" i="10"/>
  <c r="D49" i="10"/>
  <c r="D59" i="10"/>
  <c r="D30" i="10"/>
  <c r="D40" i="10"/>
  <c r="D54" i="10"/>
  <c r="C59" i="11"/>
  <c r="F59" i="11" s="1"/>
  <c r="C32" i="11"/>
  <c r="F32" i="11" s="1"/>
  <c r="C31" i="11"/>
  <c r="F31" i="11" s="1"/>
  <c r="D30" i="11"/>
  <c r="D33" i="11"/>
  <c r="D63" i="11"/>
  <c r="D64" i="11"/>
  <c r="D33" i="10"/>
  <c r="D53" i="10"/>
  <c r="D38" i="10"/>
  <c r="D58" i="10"/>
  <c r="D43" i="10"/>
  <c r="C37" i="11"/>
  <c r="F37" i="11" s="1"/>
  <c r="D56" i="10"/>
  <c r="C60" i="11"/>
  <c r="F60" i="11" s="1"/>
  <c r="D62" i="11"/>
  <c r="C26" i="12"/>
  <c r="C50" i="12" s="1"/>
  <c r="F50" i="12" s="1"/>
  <c r="C64" i="11"/>
  <c r="F64" i="11" s="1"/>
  <c r="C52" i="11"/>
  <c r="F52" i="11" s="1"/>
  <c r="D34" i="11"/>
  <c r="D31" i="11"/>
  <c r="D32" i="11"/>
  <c r="D37" i="10"/>
  <c r="D61" i="10"/>
  <c r="D42" i="10"/>
  <c r="D62" i="10"/>
  <c r="D51" i="10"/>
  <c r="D36" i="10"/>
  <c r="D44" i="10"/>
  <c r="C51" i="11"/>
  <c r="F51" i="11" s="1"/>
  <c r="D29" i="11"/>
  <c r="D51" i="11"/>
  <c r="D48" i="11"/>
  <c r="C39" i="11"/>
  <c r="F39" i="11" s="1"/>
  <c r="C46" i="11"/>
  <c r="F46" i="11" s="1"/>
  <c r="C58" i="11"/>
  <c r="F58" i="11" s="1"/>
  <c r="D46" i="11"/>
  <c r="D47" i="11"/>
  <c r="D36" i="11"/>
  <c r="D45" i="10"/>
  <c r="C33" i="11"/>
  <c r="F33" i="11" s="1"/>
  <c r="D46" i="10"/>
  <c r="D35" i="10"/>
  <c r="D55" i="10"/>
  <c r="D52" i="10"/>
  <c r="C41" i="11"/>
  <c r="F41" i="11" s="1"/>
  <c r="D66" i="9"/>
  <c r="D68" i="9" s="1"/>
  <c r="C44" i="11"/>
  <c r="F44" i="11" s="1"/>
  <c r="C30" i="11"/>
  <c r="F30" i="11" s="1"/>
  <c r="C36" i="11"/>
  <c r="F36" i="11" s="1"/>
  <c r="D37" i="11"/>
  <c r="D50" i="11"/>
  <c r="D35" i="11"/>
  <c r="D41" i="11"/>
  <c r="D52" i="11"/>
  <c r="C29" i="11"/>
  <c r="F29" i="11" s="1"/>
  <c r="D41" i="10"/>
  <c r="D57" i="10"/>
  <c r="D34" i="10"/>
  <c r="D50" i="10"/>
  <c r="D31" i="10"/>
  <c r="D47" i="10"/>
  <c r="D63" i="10"/>
  <c r="C53" i="11"/>
  <c r="F53" i="11" s="1"/>
  <c r="F66" i="10"/>
  <c r="C24" i="10"/>
  <c r="F24" i="10" s="1"/>
  <c r="Q66" i="1"/>
  <c r="Q69" i="1" s="1"/>
  <c r="C38" i="11"/>
  <c r="F38" i="11" s="1"/>
  <c r="Q67" i="1"/>
  <c r="Q70" i="1" s="1"/>
  <c r="C50" i="11"/>
  <c r="F50" i="11" s="1"/>
  <c r="C43" i="11"/>
  <c r="F43" i="11" s="1"/>
  <c r="C35" i="11"/>
  <c r="F35" i="11" s="1"/>
  <c r="C56" i="11"/>
  <c r="F56" i="11" s="1"/>
  <c r="C42" i="11"/>
  <c r="F42" i="11" s="1"/>
  <c r="C63" i="11"/>
  <c r="F63" i="11" s="1"/>
  <c r="D49" i="11"/>
  <c r="D38" i="11"/>
  <c r="D54" i="11"/>
  <c r="D45" i="11"/>
  <c r="D39" i="11"/>
  <c r="D55" i="11"/>
  <c r="D53" i="11"/>
  <c r="D40" i="11"/>
  <c r="D56" i="11"/>
  <c r="C45" i="11"/>
  <c r="F45" i="11" s="1"/>
  <c r="C49" i="11"/>
  <c r="F49" i="11" s="1"/>
  <c r="C57" i="11"/>
  <c r="F57" i="11" s="1"/>
  <c r="C48" i="11"/>
  <c r="F48" i="11" s="1"/>
  <c r="C34" i="11"/>
  <c r="F34" i="11" s="1"/>
  <c r="C55" i="11"/>
  <c r="F55" i="11" s="1"/>
  <c r="C54" i="11"/>
  <c r="F54" i="11" s="1"/>
  <c r="C40" i="11"/>
  <c r="F40" i="11" s="1"/>
  <c r="C62" i="11"/>
  <c r="F62" i="11" s="1"/>
  <c r="C47" i="11"/>
  <c r="F47" i="11" s="1"/>
  <c r="C65" i="11"/>
  <c r="F65" i="11" s="1"/>
  <c r="D61" i="11"/>
  <c r="D42" i="11"/>
  <c r="D58" i="11"/>
  <c r="D57" i="11"/>
  <c r="D43" i="11"/>
  <c r="D59" i="11"/>
  <c r="D65" i="11"/>
  <c r="D44" i="11"/>
  <c r="C61" i="11"/>
  <c r="F61" i="11" s="1"/>
  <c r="C2" i="12"/>
  <c r="C15" i="11"/>
  <c r="F15" i="11" s="1"/>
  <c r="C66" i="10"/>
  <c r="C68" i="10" s="1"/>
  <c r="D65" i="10"/>
  <c r="D48" i="10"/>
  <c r="D64" i="10"/>
  <c r="D32" i="10"/>
  <c r="D20" i="10"/>
  <c r="D16" i="10"/>
  <c r="D10" i="10"/>
  <c r="D15" i="10"/>
  <c r="D14" i="10"/>
  <c r="D12" i="10"/>
  <c r="C12" i="12"/>
  <c r="F12" i="12" s="1"/>
  <c r="C14" i="11"/>
  <c r="F14" i="11" s="1"/>
  <c r="C10" i="11"/>
  <c r="F10" i="11" s="1"/>
  <c r="C20" i="11"/>
  <c r="F20" i="11" s="1"/>
  <c r="C12" i="11"/>
  <c r="F12" i="11" s="1"/>
  <c r="C16" i="11"/>
  <c r="F16" i="11" s="1"/>
  <c r="D23" i="10"/>
  <c r="D2" i="11"/>
  <c r="D17" i="11" s="1"/>
  <c r="C9" i="11"/>
  <c r="F9" i="11" s="1"/>
  <c r="C23" i="11"/>
  <c r="F23" i="11" s="1"/>
  <c r="M4" i="1"/>
  <c r="C68" i="9"/>
  <c r="R66" i="1"/>
  <c r="M14" i="1"/>
  <c r="N14" i="1" s="1"/>
  <c r="P72" i="1"/>
  <c r="Q62" i="1"/>
  <c r="F75" i="7"/>
  <c r="R40" i="1"/>
  <c r="J35" i="3" s="1"/>
  <c r="I35" i="3"/>
  <c r="O4" i="1"/>
  <c r="D66" i="8"/>
  <c r="D68" i="8" s="1"/>
  <c r="C68" i="8"/>
  <c r="D66" i="7"/>
  <c r="D68" i="7" s="1"/>
  <c r="R13" i="1"/>
  <c r="F72" i="12" s="1"/>
  <c r="G41" i="3"/>
  <c r="D62" i="1"/>
  <c r="D64" i="1" s="1"/>
  <c r="E62" i="1"/>
  <c r="E64" i="1" s="1"/>
  <c r="D70" i="1"/>
  <c r="D69" i="1"/>
  <c r="E70" i="1"/>
  <c r="E69" i="1"/>
  <c r="N4" i="1" l="1"/>
  <c r="N16" i="1" s="1"/>
  <c r="N64" i="1" s="1"/>
  <c r="D19" i="11"/>
  <c r="D21" i="11"/>
  <c r="D18" i="11"/>
  <c r="M16" i="1"/>
  <c r="M64" i="1" s="1"/>
  <c r="F68" i="10"/>
  <c r="P4" i="1" s="1"/>
  <c r="D24" i="10"/>
  <c r="C20" i="12"/>
  <c r="F20" i="12" s="1"/>
  <c r="C16" i="12"/>
  <c r="F16" i="12" s="1"/>
  <c r="C7" i="12"/>
  <c r="F7" i="12" s="1"/>
  <c r="R69" i="1"/>
  <c r="M24" i="11"/>
  <c r="D15" i="11"/>
  <c r="D7" i="11"/>
  <c r="D2" i="12"/>
  <c r="D15" i="12" s="1"/>
  <c r="C43" i="12"/>
  <c r="F43" i="12" s="1"/>
  <c r="C61" i="12"/>
  <c r="F61" i="12" s="1"/>
  <c r="C30" i="12"/>
  <c r="F30" i="12" s="1"/>
  <c r="C52" i="12"/>
  <c r="F52" i="12" s="1"/>
  <c r="C37" i="12"/>
  <c r="F37" i="12" s="1"/>
  <c r="C46" i="12"/>
  <c r="F46" i="12" s="1"/>
  <c r="C31" i="12"/>
  <c r="F31" i="12" s="1"/>
  <c r="C57" i="12"/>
  <c r="F57" i="12" s="1"/>
  <c r="C33" i="12"/>
  <c r="F33" i="12" s="1"/>
  <c r="C29" i="12"/>
  <c r="F29" i="12" s="1"/>
  <c r="C51" i="12"/>
  <c r="F51" i="12" s="1"/>
  <c r="C42" i="12"/>
  <c r="F42" i="12" s="1"/>
  <c r="C63" i="12"/>
  <c r="F63" i="12" s="1"/>
  <c r="C32" i="12"/>
  <c r="F32" i="12" s="1"/>
  <c r="C54" i="12"/>
  <c r="F54" i="12" s="1"/>
  <c r="C34" i="12"/>
  <c r="F34" i="12" s="1"/>
  <c r="C55" i="12"/>
  <c r="F55" i="12" s="1"/>
  <c r="C53" i="12"/>
  <c r="F53" i="12" s="1"/>
  <c r="C41" i="12"/>
  <c r="F41" i="12" s="1"/>
  <c r="D26" i="12"/>
  <c r="D54" i="12" s="1"/>
  <c r="C62" i="12"/>
  <c r="F62" i="12" s="1"/>
  <c r="C47" i="12"/>
  <c r="F47" i="12" s="1"/>
  <c r="C35" i="12"/>
  <c r="F35" i="12" s="1"/>
  <c r="C38" i="12"/>
  <c r="F38" i="12" s="1"/>
  <c r="C59" i="12"/>
  <c r="F59" i="12" s="1"/>
  <c r="C39" i="12"/>
  <c r="F39" i="12" s="1"/>
  <c r="C60" i="12"/>
  <c r="F60" i="12" s="1"/>
  <c r="C64" i="12"/>
  <c r="F64" i="12" s="1"/>
  <c r="C44" i="12"/>
  <c r="F44" i="12" s="1"/>
  <c r="C65" i="12"/>
  <c r="F65" i="12" s="1"/>
  <c r="C49" i="12"/>
  <c r="F49" i="12" s="1"/>
  <c r="C45" i="12"/>
  <c r="F45" i="12" s="1"/>
  <c r="C40" i="12"/>
  <c r="F40" i="12" s="1"/>
  <c r="C36" i="12"/>
  <c r="F36" i="12" s="1"/>
  <c r="C58" i="12"/>
  <c r="F58" i="12" s="1"/>
  <c r="C56" i="12"/>
  <c r="F56" i="12" s="1"/>
  <c r="C48" i="12"/>
  <c r="F48" i="12" s="1"/>
  <c r="R67" i="1"/>
  <c r="R70" i="1" s="1"/>
  <c r="D66" i="11"/>
  <c r="F66" i="11"/>
  <c r="D66" i="10"/>
  <c r="D68" i="10" s="1"/>
  <c r="C9" i="12"/>
  <c r="F9" i="12" s="1"/>
  <c r="C15" i="12"/>
  <c r="F15" i="12" s="1"/>
  <c r="C66" i="11"/>
  <c r="C17" i="12"/>
  <c r="F17" i="12" s="1"/>
  <c r="C23" i="12"/>
  <c r="F23" i="12" s="1"/>
  <c r="C10" i="12"/>
  <c r="F10" i="12" s="1"/>
  <c r="C24" i="11"/>
  <c r="F24" i="11" s="1"/>
  <c r="C14" i="12"/>
  <c r="F14" i="12" s="1"/>
  <c r="D14" i="11"/>
  <c r="D9" i="11"/>
  <c r="D14" i="12"/>
  <c r="D12" i="11"/>
  <c r="D16" i="11"/>
  <c r="D10" i="11"/>
  <c r="D20" i="11"/>
  <c r="D23" i="11"/>
  <c r="Q72" i="1"/>
  <c r="F75" i="11"/>
  <c r="R60" i="1"/>
  <c r="G43" i="3"/>
  <c r="G46" i="3" s="1"/>
  <c r="G47" i="3" s="1"/>
  <c r="G50" i="3" s="1"/>
  <c r="O12" i="1" s="1"/>
  <c r="H41" i="3"/>
  <c r="G16" i="1"/>
  <c r="G36" i="1"/>
  <c r="G60" i="1"/>
  <c r="C25" i="2"/>
  <c r="C26" i="2"/>
  <c r="N74" i="1" l="1"/>
  <c r="M74" i="1"/>
  <c r="M80" i="1" s="1"/>
  <c r="D42" i="12"/>
  <c r="D7" i="12"/>
  <c r="D19" i="12"/>
  <c r="D18" i="12"/>
  <c r="D21" i="12"/>
  <c r="D44" i="12"/>
  <c r="D33" i="12"/>
  <c r="D47" i="12"/>
  <c r="D52" i="12"/>
  <c r="D49" i="12"/>
  <c r="D58" i="12"/>
  <c r="D9" i="12"/>
  <c r="D23" i="12"/>
  <c r="D12" i="12"/>
  <c r="D63" i="12"/>
  <c r="D60" i="12"/>
  <c r="D65" i="12"/>
  <c r="D20" i="12"/>
  <c r="D10" i="12"/>
  <c r="D36" i="12"/>
  <c r="D39" i="12"/>
  <c r="D59" i="12"/>
  <c r="D17" i="12"/>
  <c r="D16" i="12"/>
  <c r="C68" i="11"/>
  <c r="D35" i="12"/>
  <c r="D32" i="12"/>
  <c r="D48" i="12"/>
  <c r="D64" i="12"/>
  <c r="D37" i="12"/>
  <c r="D53" i="12"/>
  <c r="D31" i="12"/>
  <c r="D30" i="12"/>
  <c r="D46" i="12"/>
  <c r="D62" i="12"/>
  <c r="D43" i="12"/>
  <c r="D50" i="12"/>
  <c r="D41" i="12"/>
  <c r="D57" i="12"/>
  <c r="D34" i="12"/>
  <c r="D55" i="12"/>
  <c r="D40" i="12"/>
  <c r="D56" i="12"/>
  <c r="D29" i="12"/>
  <c r="D45" i="12"/>
  <c r="D61" i="12"/>
  <c r="D51" i="12"/>
  <c r="D38" i="12"/>
  <c r="C66" i="12"/>
  <c r="F66" i="12"/>
  <c r="F68" i="11"/>
  <c r="Q4" i="1" s="1"/>
  <c r="D24" i="11"/>
  <c r="D68" i="11" s="1"/>
  <c r="C24" i="12"/>
  <c r="F24" i="12" s="1"/>
  <c r="O16" i="1"/>
  <c r="O64" i="1" s="1"/>
  <c r="O74" i="1" s="1"/>
  <c r="O80" i="1" s="1"/>
  <c r="F73" i="9"/>
  <c r="E30" i="2"/>
  <c r="J33" i="3"/>
  <c r="R62" i="1"/>
  <c r="I41" i="3"/>
  <c r="G62" i="1"/>
  <c r="G53" i="3"/>
  <c r="H43" i="3"/>
  <c r="H46" i="3" s="1"/>
  <c r="H47" i="3" s="1"/>
  <c r="H50" i="3" s="1"/>
  <c r="P12" i="1" s="1"/>
  <c r="N80" i="1" l="1"/>
  <c r="D24" i="12"/>
  <c r="D66" i="12"/>
  <c r="D68" i="12" s="1"/>
  <c r="F68" i="12"/>
  <c r="R4" i="1" s="1"/>
  <c r="C68" i="12"/>
  <c r="P16" i="1"/>
  <c r="P64" i="1" s="1"/>
  <c r="P74" i="1" s="1"/>
  <c r="P80" i="1" s="1"/>
  <c r="F73" i="10"/>
  <c r="R72" i="1"/>
  <c r="F75" i="12"/>
  <c r="G64" i="1"/>
  <c r="H53" i="3"/>
  <c r="I43" i="3"/>
  <c r="I46" i="3" s="1"/>
  <c r="I47" i="3" s="1"/>
  <c r="I50" i="3" s="1"/>
  <c r="Q12" i="1" s="1"/>
  <c r="J41" i="3"/>
  <c r="I52" i="1"/>
  <c r="K52" i="1" s="1"/>
  <c r="Q16" i="1" l="1"/>
  <c r="Q64" i="1" s="1"/>
  <c r="Q74" i="1" s="1"/>
  <c r="Q80" i="1" s="1"/>
  <c r="F73" i="11"/>
  <c r="E31" i="2"/>
  <c r="I53" i="3"/>
  <c r="J43" i="3"/>
  <c r="J46" i="3" s="1"/>
  <c r="J47" i="3" s="1"/>
  <c r="J50" i="3" s="1"/>
  <c r="R12" i="1" s="1"/>
  <c r="R16" i="1" l="1"/>
  <c r="R64" i="1" s="1"/>
  <c r="R74" i="1" s="1"/>
  <c r="R80" i="1" s="1"/>
  <c r="S80" i="1" s="1"/>
  <c r="F73" i="12"/>
  <c r="J53" i="3"/>
  <c r="S74" i="1" l="1"/>
  <c r="S64" i="1"/>
  <c r="D53" i="3"/>
  <c r="D26" i="2" l="1"/>
  <c r="E25" i="2" l="1"/>
  <c r="D46" i="3"/>
  <c r="D47" i="3" s="1"/>
  <c r="D50" i="3" s="1"/>
  <c r="I22" i="1" l="1"/>
  <c r="K22" i="1" s="1"/>
  <c r="I9" i="1"/>
  <c r="K9" i="1" s="1"/>
  <c r="I20" i="1" l="1"/>
  <c r="K20" i="1" s="1"/>
  <c r="C50" i="3" l="1"/>
  <c r="C47" i="3"/>
  <c r="C46" i="3"/>
  <c r="E39" i="3"/>
  <c r="B14" i="3"/>
  <c r="B16" i="3" s="1"/>
  <c r="C14" i="3"/>
  <c r="D14" i="3"/>
  <c r="E14" i="3"/>
  <c r="E16" i="3" s="1"/>
  <c r="E19" i="3" s="1"/>
  <c r="E20" i="3" s="1"/>
  <c r="E23" i="3" s="1"/>
  <c r="F14" i="3"/>
  <c r="F16" i="3" s="1"/>
  <c r="F19" i="3" s="1"/>
  <c r="F20" i="3" s="1"/>
  <c r="F23" i="3" s="1"/>
  <c r="G14" i="3"/>
  <c r="H14" i="3"/>
  <c r="I14" i="3"/>
  <c r="I16" i="3" s="1"/>
  <c r="I19" i="3" s="1"/>
  <c r="I20" i="3" s="1"/>
  <c r="I23" i="3" s="1"/>
  <c r="J14" i="3"/>
  <c r="J16" i="3" s="1"/>
  <c r="J19" i="3" s="1"/>
  <c r="J20" i="3" s="1"/>
  <c r="J23" i="3" s="1"/>
  <c r="K14" i="3"/>
  <c r="L14" i="3"/>
  <c r="M14" i="3"/>
  <c r="M16" i="3" s="1"/>
  <c r="M19" i="3" s="1"/>
  <c r="M20" i="3" s="1"/>
  <c r="M23" i="3" s="1"/>
  <c r="N14" i="3"/>
  <c r="N16" i="3" s="1"/>
  <c r="N19" i="3" s="1"/>
  <c r="N20" i="3" s="1"/>
  <c r="N23" i="3" s="1"/>
  <c r="O14" i="3"/>
  <c r="P14" i="3"/>
  <c r="Q14" i="3"/>
  <c r="Q16" i="3" s="1"/>
  <c r="Q19" i="3" s="1"/>
  <c r="Q20" i="3" s="1"/>
  <c r="Q23" i="3" s="1"/>
  <c r="R14" i="3"/>
  <c r="C16" i="3"/>
  <c r="D16" i="3"/>
  <c r="G16" i="3"/>
  <c r="H16" i="3"/>
  <c r="K16" i="3"/>
  <c r="L16" i="3"/>
  <c r="O16" i="3"/>
  <c r="P16" i="3"/>
  <c r="R16" i="3"/>
  <c r="B41" i="3"/>
  <c r="B43" i="3" s="1"/>
  <c r="C41" i="3"/>
  <c r="C43" i="3" s="1"/>
  <c r="E25" i="3" l="1"/>
  <c r="R19" i="3"/>
  <c r="R20" i="3" s="1"/>
  <c r="R23" i="3" s="1"/>
  <c r="R25" i="3" s="1"/>
  <c r="N25" i="3"/>
  <c r="J25" i="3"/>
  <c r="F25" i="3"/>
  <c r="C19" i="3"/>
  <c r="C20" i="3" s="1"/>
  <c r="C23" i="3" s="1"/>
  <c r="C25" i="3" s="1"/>
  <c r="G19" i="3"/>
  <c r="G20" i="3" s="1"/>
  <c r="G23" i="3" s="1"/>
  <c r="G25" i="3" s="1"/>
  <c r="K19" i="3"/>
  <c r="K20" i="3" s="1"/>
  <c r="K23" i="3" s="1"/>
  <c r="K25" i="3" s="1"/>
  <c r="O19" i="3"/>
  <c r="O20" i="3" s="1"/>
  <c r="O23" i="3" s="1"/>
  <c r="O25" i="3" s="1"/>
  <c r="D19" i="3"/>
  <c r="D20" i="3" s="1"/>
  <c r="D23" i="3" s="1"/>
  <c r="D25" i="3" s="1"/>
  <c r="H19" i="3"/>
  <c r="H20" i="3" s="1"/>
  <c r="H23" i="3" s="1"/>
  <c r="H25" i="3" s="1"/>
  <c r="L19" i="3"/>
  <c r="L20" i="3" s="1"/>
  <c r="L23" i="3" s="1"/>
  <c r="L25" i="3" s="1"/>
  <c r="P19" i="3"/>
  <c r="P20" i="3" s="1"/>
  <c r="P23" i="3" s="1"/>
  <c r="P25" i="3" s="1"/>
  <c r="I25" i="3" l="1"/>
  <c r="Q25" i="3"/>
  <c r="M25" i="3"/>
  <c r="C53" i="3"/>
  <c r="E26" i="2" l="1"/>
  <c r="E16" i="2"/>
  <c r="E15" i="2"/>
  <c r="E11" i="2"/>
  <c r="E10" i="2"/>
  <c r="E6" i="2"/>
  <c r="E5" i="2"/>
  <c r="E3" i="2"/>
  <c r="D8" i="2"/>
  <c r="D13" i="2" s="1"/>
  <c r="D18" i="2" s="1"/>
  <c r="E20" i="2"/>
  <c r="C8" i="2"/>
  <c r="C13" i="2" s="1"/>
  <c r="C18" i="2" s="1"/>
  <c r="B8" i="2"/>
  <c r="B13" i="2" s="1"/>
  <c r="B18" i="2" s="1"/>
  <c r="E21" i="2" l="1"/>
  <c r="D23" i="2"/>
  <c r="D28" i="2" s="1"/>
  <c r="D33" i="2" s="1"/>
  <c r="E8" i="2"/>
  <c r="E13" i="2" s="1"/>
  <c r="E18" i="2" s="1"/>
  <c r="C23" i="2"/>
  <c r="C28" i="2" s="1"/>
  <c r="C33" i="2" s="1"/>
  <c r="B23" i="2"/>
  <c r="I34" i="1"/>
  <c r="K34" i="1" s="1"/>
  <c r="I25" i="1"/>
  <c r="K25" i="1" s="1"/>
  <c r="I5" i="1"/>
  <c r="K5" i="1" s="1"/>
  <c r="B28" i="2" l="1"/>
  <c r="B33" i="2" s="1"/>
  <c r="E41" i="3"/>
  <c r="E23" i="2"/>
  <c r="E28" i="2" s="1"/>
  <c r="E33" i="2" s="1"/>
  <c r="E43" i="3" l="1"/>
  <c r="E46" i="3" s="1"/>
  <c r="E47" i="3" s="1"/>
  <c r="E50" i="3" s="1"/>
  <c r="L12" i="1" s="1"/>
  <c r="I23" i="1"/>
  <c r="K23" i="1" s="1"/>
  <c r="I21" i="1"/>
  <c r="K21" i="1" s="1"/>
  <c r="I33" i="1"/>
  <c r="K33" i="1" s="1"/>
  <c r="I31" i="1"/>
  <c r="K31" i="1" s="1"/>
  <c r="I11" i="1"/>
  <c r="K11" i="1" s="1"/>
  <c r="I15" i="1"/>
  <c r="K15" i="1" s="1"/>
  <c r="I14" i="1"/>
  <c r="K14" i="1" s="1"/>
  <c r="I57" i="1"/>
  <c r="K57" i="1" s="1"/>
  <c r="I24" i="1"/>
  <c r="K24" i="1" s="1"/>
  <c r="I39" i="1"/>
  <c r="K39" i="1" s="1"/>
  <c r="I54" i="1"/>
  <c r="K54" i="1" s="1"/>
  <c r="I42" i="1"/>
  <c r="K42" i="1" s="1"/>
  <c r="I40" i="1"/>
  <c r="K40" i="1" s="1"/>
  <c r="I28" i="1"/>
  <c r="K28" i="1" s="1"/>
  <c r="I19" i="1"/>
  <c r="K19" i="1" s="1"/>
  <c r="I26" i="1"/>
  <c r="K26" i="1" s="1"/>
  <c r="I27" i="1"/>
  <c r="K27" i="1" s="1"/>
  <c r="I29" i="1"/>
  <c r="K29" i="1" s="1"/>
  <c r="I30" i="1"/>
  <c r="K30" i="1" s="1"/>
  <c r="I32" i="1"/>
  <c r="K32" i="1" s="1"/>
  <c r="I35" i="1"/>
  <c r="K35" i="1" s="1"/>
  <c r="I55" i="1"/>
  <c r="K55" i="1" s="1"/>
  <c r="I56" i="1"/>
  <c r="K56" i="1" s="1"/>
  <c r="I58" i="1"/>
  <c r="K58" i="1" s="1"/>
  <c r="I41" i="1"/>
  <c r="K41" i="1" s="1"/>
  <c r="I43" i="1"/>
  <c r="K43" i="1" s="1"/>
  <c r="I44" i="1"/>
  <c r="K44" i="1" s="1"/>
  <c r="I45" i="1"/>
  <c r="K45" i="1" s="1"/>
  <c r="I49" i="1"/>
  <c r="K49" i="1" s="1"/>
  <c r="I48" i="1"/>
  <c r="K48" i="1" s="1"/>
  <c r="I53" i="1"/>
  <c r="K53" i="1" s="1"/>
  <c r="I6" i="1"/>
  <c r="K6" i="1" s="1"/>
  <c r="I7" i="1"/>
  <c r="K7" i="1" s="1"/>
  <c r="I8" i="1"/>
  <c r="K8" i="1" s="1"/>
  <c r="I10" i="1"/>
  <c r="K10" i="1" s="1"/>
  <c r="I13" i="1"/>
  <c r="K13" i="1" s="1"/>
  <c r="I4" i="1"/>
  <c r="K4" i="1" s="1"/>
  <c r="I51" i="1"/>
  <c r="K51" i="1" s="1"/>
  <c r="I50" i="1"/>
  <c r="K50" i="1" s="1"/>
  <c r="F74" i="10" l="1"/>
  <c r="F76" i="10" s="1"/>
  <c r="F73" i="7"/>
  <c r="F74" i="7" s="1"/>
  <c r="F76" i="7" s="1"/>
  <c r="F74" i="11"/>
  <c r="F76" i="11" s="1"/>
  <c r="F74" i="8"/>
  <c r="F76" i="8" s="1"/>
  <c r="F74" i="12"/>
  <c r="F76" i="12" s="1"/>
  <c r="F74" i="9"/>
  <c r="F76" i="9" s="1"/>
  <c r="K36" i="1"/>
  <c r="L16" i="1"/>
  <c r="F53" i="3"/>
  <c r="E53" i="3"/>
  <c r="I59" i="1"/>
  <c r="K59" i="1" s="1"/>
  <c r="H60" i="1"/>
  <c r="H36" i="1"/>
  <c r="H16" i="1"/>
  <c r="I36" i="1"/>
  <c r="I12" i="1"/>
  <c r="K12" i="1" s="1"/>
  <c r="K16" i="1" s="1"/>
  <c r="I46" i="1"/>
  <c r="K46" i="1" s="1"/>
  <c r="K60" i="1" l="1"/>
  <c r="K62" i="1" s="1"/>
  <c r="K64" i="1" s="1"/>
  <c r="L64" i="1"/>
  <c r="H62" i="1"/>
  <c r="H64" i="1" s="1"/>
  <c r="I60" i="1"/>
  <c r="I62" i="1" s="1"/>
  <c r="I16" i="1"/>
  <c r="I64" i="1" l="1"/>
</calcChain>
</file>

<file path=xl/comments1.xml><?xml version="1.0" encoding="utf-8"?>
<comments xmlns="http://schemas.openxmlformats.org/spreadsheetml/2006/main">
  <authors>
    <author>JHP</author>
  </authors>
  <commentList>
    <comment ref="B46" authorId="0" shapeId="0">
      <text>
        <r>
          <rPr>
            <b/>
            <sz val="9"/>
            <color indexed="81"/>
            <rFont val="Tahoma"/>
            <charset val="1"/>
          </rPr>
          <t>JHP:</t>
        </r>
        <r>
          <rPr>
            <sz val="9"/>
            <color indexed="81"/>
            <rFont val="Tahoma"/>
            <charset val="1"/>
          </rPr>
          <t xml:space="preserve">
Affordable Work Orders $1,300/mth trash pickup
</t>
        </r>
      </text>
    </comment>
  </commentList>
</comments>
</file>

<file path=xl/comments2.xml><?xml version="1.0" encoding="utf-8"?>
<comments xmlns="http://schemas.openxmlformats.org/spreadsheetml/2006/main">
  <authors>
    <author>JHP</author>
  </authors>
  <commentList>
    <comment ref="E39" authorId="0" shapeId="0">
      <text>
        <r>
          <rPr>
            <b/>
            <sz val="9"/>
            <color indexed="81"/>
            <rFont val="Tahoma"/>
            <family val="2"/>
          </rPr>
          <t>JHP:</t>
        </r>
        <r>
          <rPr>
            <sz val="9"/>
            <color indexed="81"/>
            <rFont val="Tahoma"/>
            <family val="2"/>
          </rPr>
          <t xml:space="preserve">
per DS mgmt fee breakdown + 3.5%
</t>
        </r>
      </text>
    </comment>
  </commentList>
</comments>
</file>

<file path=xl/sharedStrings.xml><?xml version="1.0" encoding="utf-8"?>
<sst xmlns="http://schemas.openxmlformats.org/spreadsheetml/2006/main" count="883" uniqueCount="339">
  <si>
    <t>TOTAL OPERATING EXPENSE</t>
  </si>
  <si>
    <t>ESTIMATED</t>
  </si>
  <si>
    <t>YR.TO DATE</t>
  </si>
  <si>
    <t>EST.</t>
  </si>
  <si>
    <t>VARIANCE</t>
  </si>
  <si>
    <t>ELW COUNTRY CLUB FEES</t>
  </si>
  <si>
    <t>ELW SHOPPING CENTER FEES</t>
  </si>
  <si>
    <t>ELW GATE INCOME</t>
  </si>
  <si>
    <t>INTEREST INCOME - OPERATING</t>
  </si>
  <si>
    <t>INTEREST INCOME - RESERVES</t>
  </si>
  <si>
    <t>ELW CUSTODIAL LABOR</t>
  </si>
  <si>
    <t>R&amp;M GENERAL</t>
  </si>
  <si>
    <t>MEETINGS - COMMUNITY</t>
  </si>
  <si>
    <t>ADMINISTRATIVE EXPENSES</t>
  </si>
  <si>
    <t>TOTAL ADMINISTRATIVE EXP.</t>
  </si>
  <si>
    <t>6010-000</t>
  </si>
  <si>
    <t>6029-000</t>
  </si>
  <si>
    <t>6084-001</t>
  </si>
  <si>
    <t>6084-002</t>
  </si>
  <si>
    <t>6083-001</t>
  </si>
  <si>
    <t>6070-000</t>
  </si>
  <si>
    <t>6071-000</t>
  </si>
  <si>
    <t>7110-000</t>
  </si>
  <si>
    <t>8020-000</t>
  </si>
  <si>
    <t>8210-012</t>
  </si>
  <si>
    <t>8110-004</t>
  </si>
  <si>
    <t>8110-016</t>
  </si>
  <si>
    <t>8110-000</t>
  </si>
  <si>
    <t>8710-000</t>
  </si>
  <si>
    <t>8016-001</t>
  </si>
  <si>
    <t>8014-000</t>
  </si>
  <si>
    <t>8013-001</t>
  </si>
  <si>
    <t>8013-003</t>
  </si>
  <si>
    <t>8110-002</t>
  </si>
  <si>
    <t>8012-000</t>
  </si>
  <si>
    <t>8017-000</t>
  </si>
  <si>
    <t>8012-001</t>
  </si>
  <si>
    <t>8210-001</t>
  </si>
  <si>
    <t>8210-008</t>
  </si>
  <si>
    <t>7212-001</t>
  </si>
  <si>
    <t>7211-000</t>
  </si>
  <si>
    <t>7410-000</t>
  </si>
  <si>
    <t>7510-000</t>
  </si>
  <si>
    <t>7510-001</t>
  </si>
  <si>
    <t>7510-002</t>
  </si>
  <si>
    <t>7310-002</t>
  </si>
  <si>
    <t>7310-008</t>
  </si>
  <si>
    <t>7510-003</t>
  </si>
  <si>
    <t>6900-000</t>
  </si>
  <si>
    <t>7950-000</t>
  </si>
  <si>
    <t>6901-000</t>
  </si>
  <si>
    <t>INSURANCE - GENERAL</t>
  </si>
  <si>
    <t>LEGAL GENERAL</t>
  </si>
  <si>
    <t>TAXES - CORP. ANNUAL</t>
  </si>
  <si>
    <t>TAXES - FEDERAL INCOME</t>
  </si>
  <si>
    <t>ADMIN EXPENSES - GENERAL</t>
  </si>
  <si>
    <t>BOARD EXPENSE - DUES</t>
  </si>
  <si>
    <t>R&amp;M SIGNS</t>
  </si>
  <si>
    <t>8210-004</t>
  </si>
  <si>
    <t>R&amp;M DRAINAGE</t>
  </si>
  <si>
    <t>8210-003</t>
  </si>
  <si>
    <t>UTILITIES GENERAL</t>
  </si>
  <si>
    <t>BUDGET</t>
  </si>
  <si>
    <t>ADMIN EXPENSE - GEN. POSTAGE</t>
  </si>
  <si>
    <t>REMAINDER</t>
  </si>
  <si>
    <t>MANAGEMENT FEE</t>
  </si>
  <si>
    <t>8210-009</t>
  </si>
  <si>
    <t>ACCOUNTING/TAX PREP/AUDIT</t>
  </si>
  <si>
    <t>R&amp;M ROADS/SIDEWALKS</t>
  </si>
  <si>
    <t>WEBSITE</t>
  </si>
  <si>
    <t>7510-099</t>
  </si>
  <si>
    <t>ADMIN EXPENSES-45 DAY PRE LIEN</t>
  </si>
  <si>
    <t>GATE DAMAGE CLAIMS</t>
  </si>
  <si>
    <t>7212-000</t>
  </si>
  <si>
    <t>PROFESSIONAL - GENERAL</t>
  </si>
  <si>
    <t>6028-000</t>
  </si>
  <si>
    <t>MONTHLY UNBOUND FEE - per unit</t>
  </si>
  <si>
    <t>MONTHLY BOUND FEE - per unit</t>
  </si>
  <si>
    <t>7214-0000</t>
  </si>
  <si>
    <t>LIEN/ADMIN-LIEN REIMBURSEMENT</t>
  </si>
  <si>
    <t>7810-0000</t>
  </si>
  <si>
    <t>UNCOLLECTIBLE ASSESSMENTS</t>
  </si>
  <si>
    <t>SERVICES &amp; UTILITIES</t>
  </si>
  <si>
    <t>SECURITY-SHERIFF'S PATROL</t>
  </si>
  <si>
    <t xml:space="preserve">SECURITY-GUARD CONTRACT </t>
  </si>
  <si>
    <t>GATE  DECALS/STICKERS</t>
  </si>
  <si>
    <t>SECURITY-GATE TELEPHONE</t>
  </si>
  <si>
    <t>SECURITY-GATE MAINTENANCE</t>
  </si>
  <si>
    <t>SECURITY-GATE ACCESS EXPENSES</t>
  </si>
  <si>
    <t>R&amp;M GUARD HOUSE</t>
  </si>
  <si>
    <t>GROUNDS-LAWN SERVICE</t>
  </si>
  <si>
    <t>GROUNDS-LANDSCAPE MGMT CONTRACT</t>
  </si>
  <si>
    <t>GROUNDS-TREES/SHRUBS ADD/REMOVE</t>
  </si>
  <si>
    <t>GROUNDS-IRRIGATION GENERAL</t>
  </si>
  <si>
    <t>GROUNDS-IRRIGATION REPAIRS</t>
  </si>
  <si>
    <t>GROUNDS-LAKE TREATMENT</t>
  </si>
  <si>
    <t>TOTAL  SERVICES &amp; UTILITIES</t>
  </si>
  <si>
    <t>OTHER INCOME - PRE-LIEN</t>
  </si>
  <si>
    <t>INTEREST TRANSFER TO RESERVES</t>
  </si>
  <si>
    <t>INCOME TRANSFER TO RESERVES</t>
  </si>
  <si>
    <t>MAINT FEE - RESERVE - GENERAL</t>
  </si>
  <si>
    <t>MAINT FEE - RESERVE - DEFERRED MAINT</t>
  </si>
  <si>
    <t>MAINT FEE - OPERATING</t>
  </si>
  <si>
    <t>TOTAL INCOME</t>
  </si>
  <si>
    <t>A/C #</t>
  </si>
  <si>
    <t>INCOME</t>
  </si>
  <si>
    <t>OPERATING NET INCOME (LOSS)</t>
  </si>
  <si>
    <t>METHOD</t>
  </si>
  <si>
    <t>should net to zero</t>
  </si>
  <si>
    <t>ELWCC 3 mtgs</t>
  </si>
  <si>
    <t>notes/explanations</t>
  </si>
  <si>
    <t>annual meeting postage</t>
  </si>
  <si>
    <t>6083-099</t>
  </si>
  <si>
    <t>should net to zero w/income</t>
  </si>
  <si>
    <t>Acquatic Systems</t>
  </si>
  <si>
    <t>Operating Fund</t>
  </si>
  <si>
    <t>Replacement Fund</t>
  </si>
  <si>
    <t>Total Fund</t>
  </si>
  <si>
    <t>Dec 31, 2010 Bal</t>
  </si>
  <si>
    <t>Dec 31, 2011 Bal</t>
  </si>
  <si>
    <t>2011 Revenue</t>
  </si>
  <si>
    <t>2011 Expenses</t>
  </si>
  <si>
    <t>2012 Revenue</t>
  </si>
  <si>
    <t>2012 Expenses</t>
  </si>
  <si>
    <t>Dec 31, 2012 Bal</t>
  </si>
  <si>
    <t>2013 Revenue</t>
  </si>
  <si>
    <t>2013 Expenses</t>
  </si>
  <si>
    <t>Dec 31, 2013 Bal</t>
  </si>
  <si>
    <t>2014 Revenue</t>
  </si>
  <si>
    <t>2014 Expenses</t>
  </si>
  <si>
    <t xml:space="preserve">Reviewed </t>
  </si>
  <si>
    <t>Audited</t>
  </si>
  <si>
    <t>Reviewed</t>
  </si>
  <si>
    <t>milling, overlaying and striping = 148,867</t>
  </si>
  <si>
    <t>109,200 per GAB 2013 update</t>
  </si>
  <si>
    <t>187,860 per GAB 2011 update</t>
  </si>
  <si>
    <t>sidewalk, paving/striping/Quail Forest gates</t>
  </si>
  <si>
    <t>sidewalk, paving/striping,fencing/Quail Forest</t>
  </si>
  <si>
    <t>Def Maintenance Fund</t>
  </si>
  <si>
    <t>decals/bar-codes</t>
  </si>
  <si>
    <t>paid to M&amp;A</t>
  </si>
  <si>
    <t>CNCN</t>
  </si>
  <si>
    <t>% of Increase over prev. yr.</t>
  </si>
  <si>
    <t>Usage Fee Formula</t>
  </si>
  <si>
    <t>Increase over Base %</t>
  </si>
  <si>
    <t>Increase over Base $</t>
  </si>
  <si>
    <t>Net Services &amp; Utilities</t>
  </si>
  <si>
    <t>Total Reductions</t>
  </si>
  <si>
    <t>Gate Card Administration</t>
  </si>
  <si>
    <t>Transmitters</t>
  </si>
  <si>
    <t>Bar Code Decals/Stickers</t>
  </si>
  <si>
    <t>Damage Claims</t>
  </si>
  <si>
    <t>Sheriff Patrol</t>
  </si>
  <si>
    <t>Less</t>
  </si>
  <si>
    <t>Total Serv. &amp; Utilities</t>
  </si>
  <si>
    <t>Base</t>
  </si>
  <si>
    <t>USAGE FEE AGREEMENT</t>
  </si>
  <si>
    <t xml:space="preserve">EASTLAKE WOODLANDS LTD.  </t>
  </si>
  <si>
    <t>Surplus/Deficit</t>
  </si>
  <si>
    <t>Budgeted Operating Expense</t>
  </si>
  <si>
    <t>Total Income less Reserves</t>
  </si>
  <si>
    <t>Country Club*</t>
  </si>
  <si>
    <t>Shopping Cnt 3%</t>
  </si>
  <si>
    <t>Barcode</t>
  </si>
  <si>
    <t>Other Income</t>
  </si>
  <si>
    <t>Owner Income</t>
  </si>
  <si>
    <t>Total Bound</t>
  </si>
  <si>
    <t>Disco</t>
  </si>
  <si>
    <t>Parcel N</t>
  </si>
  <si>
    <t>Parcel M</t>
  </si>
  <si>
    <t>Parcel L</t>
  </si>
  <si>
    <t>Worthington</t>
  </si>
  <si>
    <t>Woodslanding</t>
  </si>
  <si>
    <t>Woodridge Grn</t>
  </si>
  <si>
    <t>Woodlake Run</t>
  </si>
  <si>
    <t>Warwick Hills</t>
  </si>
  <si>
    <t>Turtle Crk. 3-4</t>
  </si>
  <si>
    <t>Turtle Crk.1-2</t>
  </si>
  <si>
    <t>Stonebriar</t>
  </si>
  <si>
    <t>Silverthorne</t>
  </si>
  <si>
    <t>St. Andrews</t>
  </si>
  <si>
    <t>Preserve</t>
  </si>
  <si>
    <t>Pinnacle</t>
  </si>
  <si>
    <t>Pinewinds</t>
  </si>
  <si>
    <t>Muirfield</t>
  </si>
  <si>
    <t>Meadows</t>
  </si>
  <si>
    <t>Lakeshore Vista</t>
  </si>
  <si>
    <t>Kingsmill</t>
  </si>
  <si>
    <t>Isleworth</t>
  </si>
  <si>
    <t>Hunters Trail</t>
  </si>
  <si>
    <t>Hunters Cross</t>
  </si>
  <si>
    <t>Heather/Laurel</t>
  </si>
  <si>
    <t>Greenhaven 3-4</t>
  </si>
  <si>
    <t>Greenhaven 2</t>
  </si>
  <si>
    <t>Greenhaven 1</t>
  </si>
  <si>
    <t>Enclave</t>
  </si>
  <si>
    <t>Diamond Crest</t>
  </si>
  <si>
    <t>Deerpath</t>
  </si>
  <si>
    <t>Cross Pointe</t>
  </si>
  <si>
    <t>Cross Creek</t>
  </si>
  <si>
    <t>Creekside</t>
  </si>
  <si>
    <t>Avenel</t>
  </si>
  <si>
    <t>Aberdeen</t>
  </si>
  <si>
    <t>Annual Income</t>
  </si>
  <si>
    <t>Reserves</t>
  </si>
  <si>
    <t>Oper. Fees</t>
  </si>
  <si>
    <t>Income</t>
  </si>
  <si>
    <t>Units</t>
  </si>
  <si>
    <t>Association</t>
  </si>
  <si>
    <t>Total</t>
  </si>
  <si>
    <t>Total Annual</t>
  </si>
  <si>
    <t xml:space="preserve">Total Annual </t>
  </si>
  <si>
    <t>Monthly</t>
  </si>
  <si>
    <t>No. of</t>
  </si>
  <si>
    <t>Bound</t>
  </si>
  <si>
    <t>Total Unbound</t>
  </si>
  <si>
    <t>Woodland Est.</t>
  </si>
  <si>
    <t>Quail Forest</t>
  </si>
  <si>
    <t>Patio Homes</t>
  </si>
  <si>
    <t>Lake Estates</t>
  </si>
  <si>
    <t>Cluster 5</t>
  </si>
  <si>
    <t>Cluster 4</t>
  </si>
  <si>
    <t>Cluster 3</t>
  </si>
  <si>
    <t>Cluster 2</t>
  </si>
  <si>
    <t>Cluster 1</t>
  </si>
  <si>
    <t>Cypress 3</t>
  </si>
  <si>
    <t>Cypress 2</t>
  </si>
  <si>
    <t>Cypress 1</t>
  </si>
  <si>
    <t>Condo 7</t>
  </si>
  <si>
    <t>Condo 6</t>
  </si>
  <si>
    <t>Condo 5</t>
  </si>
  <si>
    <t>Condo 4</t>
  </si>
  <si>
    <t>Condo 3</t>
  </si>
  <si>
    <t>Condo 2</t>
  </si>
  <si>
    <t>Condo 1</t>
  </si>
  <si>
    <t xml:space="preserve"> Oper. Fees</t>
  </si>
  <si>
    <t xml:space="preserve">Unbound </t>
  </si>
  <si>
    <t>see usage fee tab</t>
  </si>
  <si>
    <t>7110-003</t>
  </si>
  <si>
    <t>INSURANCE - W/C</t>
  </si>
  <si>
    <t xml:space="preserve">Duke Energy, Tampa Electric  </t>
  </si>
  <si>
    <t>2016 BUDGET</t>
  </si>
  <si>
    <t>6083-000</t>
  </si>
  <si>
    <t>OTHER INCOME - GENERAL</t>
  </si>
  <si>
    <t>7211-001</t>
  </si>
  <si>
    <t>LEGAL LITIGATION CROSS POINTE</t>
  </si>
  <si>
    <t>Dec 31, 2014 Bal</t>
  </si>
  <si>
    <t>sidewalk, curbs, gates</t>
  </si>
  <si>
    <t>2015 Revenue</t>
  </si>
  <si>
    <t>2015 Expenses</t>
  </si>
  <si>
    <t>Cove</t>
  </si>
  <si>
    <t>Based on 3214 units</t>
  </si>
  <si>
    <t xml:space="preserve">PSA </t>
  </si>
  <si>
    <t>109,200 per GAB 2015 update</t>
  </si>
  <si>
    <t>3% increase</t>
  </si>
  <si>
    <t>term up 12/31/17</t>
  </si>
  <si>
    <t>sidewalk, road</t>
  </si>
  <si>
    <t>Dec 31, 2015 Bal</t>
  </si>
  <si>
    <t>2016 information</t>
  </si>
  <si>
    <t>increase - unbound</t>
  </si>
  <si>
    <t>increase - bound</t>
  </si>
  <si>
    <t>8029-099</t>
  </si>
  <si>
    <t>LABOR EXPNSE REIMBURSMENT</t>
  </si>
  <si>
    <t>EMK, GAB Robins</t>
  </si>
  <si>
    <t>TOTAL 2016</t>
  </si>
  <si>
    <t>Based on 3220 units</t>
  </si>
  <si>
    <t xml:space="preserve">increase </t>
  </si>
  <si>
    <t>see income tabs</t>
  </si>
  <si>
    <t>2016 Revenue</t>
  </si>
  <si>
    <t>2016 Expenses</t>
  </si>
  <si>
    <t>141,240 per GAB 2015 update</t>
  </si>
  <si>
    <t>4%</t>
  </si>
  <si>
    <t>avg increase in expenses</t>
  </si>
  <si>
    <t>October</t>
  </si>
  <si>
    <t xml:space="preserve">approved budget </t>
  </si>
  <si>
    <t>assume they don't renew after 12/31/18</t>
  </si>
  <si>
    <t>did not renew, expired 12/31/17</t>
  </si>
  <si>
    <t xml:space="preserve">renewed </t>
  </si>
  <si>
    <t>lost units</t>
  </si>
  <si>
    <t>mill and overlay paving 161,335</t>
  </si>
  <si>
    <t>AT RISK</t>
  </si>
  <si>
    <t>assume don't renew after ext 12/31/19</t>
  </si>
  <si>
    <t>assume don't renew after ext  12/31/19</t>
  </si>
  <si>
    <t>revised RFP</t>
  </si>
  <si>
    <t>addendum</t>
  </si>
  <si>
    <t>contingency (10%)</t>
  </si>
  <si>
    <t>engineer</t>
  </si>
  <si>
    <t>contract administrator</t>
  </si>
  <si>
    <t>total to fund</t>
  </si>
  <si>
    <t>bound members</t>
  </si>
  <si>
    <t>per bound member</t>
  </si>
  <si>
    <t>special assessments</t>
  </si>
  <si>
    <t>if pay immediately</t>
  </si>
  <si>
    <t>Dec 31 2016  to be audited</t>
  </si>
  <si>
    <t>pay 1/2 in 2017, 1/2 in 2018</t>
  </si>
  <si>
    <t>items to consider going forward:</t>
  </si>
  <si>
    <t>contribution from ELWCC</t>
  </si>
  <si>
    <t>3 year loan  $1.5 million @4.75%</t>
  </si>
  <si>
    <t>assume 1000 pay by 12/31/17</t>
  </si>
  <si>
    <t>discount of $50</t>
  </si>
  <si>
    <t>total assessment need</t>
  </si>
  <si>
    <t>bank loan</t>
  </si>
  <si>
    <t>total project cost</t>
  </si>
  <si>
    <t>project cost</t>
  </si>
  <si>
    <t>(239,000-96,000)</t>
  </si>
  <si>
    <t>FORECAST</t>
  </si>
  <si>
    <t>we will not refund or re-assess members after the fact</t>
  </si>
  <si>
    <t>interest on loan (approximate)</t>
  </si>
  <si>
    <t>operating income (loss)</t>
  </si>
  <si>
    <t>interest expense</t>
  </si>
  <si>
    <t>total ELWCA</t>
  </si>
  <si>
    <t>5 yrs total</t>
  </si>
  <si>
    <t>drainage</t>
  </si>
  <si>
    <t>need to reduce expenses next 5 years</t>
  </si>
  <si>
    <t>total projected to collect</t>
  </si>
  <si>
    <r>
      <t xml:space="preserve">drainage spent 2016 over budget-replenish </t>
    </r>
    <r>
      <rPr>
        <sz val="10"/>
        <rFont val="Arial"/>
        <family val="2"/>
      </rPr>
      <t>operating</t>
    </r>
    <r>
      <rPr>
        <sz val="10"/>
        <rFont val="Arial"/>
      </rPr>
      <t xml:space="preserve"> reserve</t>
    </r>
  </si>
  <si>
    <t xml:space="preserve">estimated discount </t>
  </si>
  <si>
    <t>assume 1089 pay half by 12/31/17</t>
  </si>
  <si>
    <t>assume 1089 pay half by 12/31/18</t>
  </si>
  <si>
    <t xml:space="preserve">4.75% - pay back as soon as all assessments recd, end of 2018 </t>
  </si>
  <si>
    <t>any difference in discounts given and interest expense on loan will be absorbed by operating funds and/or amount put to reserves  will be modified</t>
  </si>
  <si>
    <t>from drainage budget 2017</t>
  </si>
  <si>
    <t>pmts are $44,788/mth = $1,612,368</t>
  </si>
  <si>
    <t>driveway/sidewalk patches</t>
  </si>
  <si>
    <t>consider new security firm or reduced services, by 2020 we're down 718 paying members</t>
  </si>
  <si>
    <t>consider new management company, by 2020 we're down 718 paying members, over $200k per year is too much</t>
  </si>
  <si>
    <t>work with lawn company to insure we are not doing some of club's or other's responsibility, try for a 3 yr contract with prices held firm.</t>
  </si>
  <si>
    <t>how do we make sure all the items we are supposed to "give back" to non-renewers happens, and how to quantify savings?</t>
  </si>
  <si>
    <t>shopping center contract up 2017-  let's get started on this negotiation try to increase</t>
  </si>
  <si>
    <t>when will we be able to develop on-going maintenance plan for drainage?</t>
  </si>
  <si>
    <t>how do we get better cooperation from the club?  Especially on drainage maintenance issues.    Islands created?</t>
  </si>
  <si>
    <t>Actual full year history</t>
  </si>
  <si>
    <t>projections assuming current spending levels</t>
  </si>
  <si>
    <t>5% incr 2017, 3% after</t>
  </si>
  <si>
    <t>2017 contract, 3% after</t>
  </si>
  <si>
    <t xml:space="preserve">ongoing maintenance </t>
  </si>
  <si>
    <t>Liberty - contract expires 12/31/17</t>
  </si>
  <si>
    <t>renegotiate contract ends 2017</t>
  </si>
  <si>
    <t>CP lawsuit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</si>
</sst>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%"/>
    <numFmt numFmtId="167" formatCode="_(* #,##0.000_);_(* \(#,##0.000\);_(* &quot;-&quot;??_);_(@_)"/>
    <numFmt numFmtId="168" formatCode="_(* #,##0.000000_);_(* \(#,##0.00000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 val="singleAccounting"/>
      <sz val="8"/>
      <name val="Arial"/>
      <family val="2"/>
    </font>
    <font>
      <sz val="10"/>
      <name val="Arial"/>
      <family val="2"/>
    </font>
    <font>
      <b/>
      <u val="singleAccounting"/>
      <sz val="8"/>
      <name val="Arial"/>
      <family val="2"/>
    </font>
    <font>
      <b/>
      <u/>
      <sz val="8"/>
      <name val="Arial"/>
      <family val="2"/>
    </font>
    <font>
      <b/>
      <u val="singleAccounting"/>
      <sz val="10"/>
      <name val="Arial"/>
      <family val="2"/>
    </font>
    <font>
      <u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 val="doubleAccounting"/>
      <sz val="8"/>
      <name val="Arial"/>
      <family val="2"/>
    </font>
    <font>
      <sz val="11"/>
      <color rgb="FF1F497D"/>
      <name val="Calibri"/>
      <family val="2"/>
    </font>
    <font>
      <u val="singleAccounting"/>
      <sz val="10"/>
      <name val="Arial"/>
      <family val="2"/>
    </font>
    <font>
      <u val="doubleAccounting"/>
      <sz val="10"/>
      <name val="Arial"/>
      <family val="2"/>
    </font>
    <font>
      <u/>
      <sz val="10"/>
      <color theme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19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14" fontId="4" fillId="0" borderId="0" xfId="0" applyNumberFormat="1" applyFont="1"/>
    <xf numFmtId="0" fontId="4" fillId="0" borderId="0" xfId="0" applyNumberFormat="1" applyFont="1" applyAlignment="1">
      <alignment horizontal="left"/>
    </xf>
    <xf numFmtId="165" fontId="0" fillId="0" borderId="0" xfId="2" applyNumberFormat="1" applyFont="1"/>
    <xf numFmtId="165" fontId="3" fillId="0" borderId="0" xfId="2" applyNumberFormat="1" applyFont="1" applyFill="1"/>
    <xf numFmtId="44" fontId="3" fillId="0" borderId="0" xfId="1" applyNumberFormat="1" applyFont="1" applyFill="1"/>
    <xf numFmtId="43" fontId="3" fillId="0" borderId="0" xfId="2" applyNumberFormat="1" applyFont="1" applyFill="1"/>
    <xf numFmtId="44" fontId="2" fillId="0" borderId="0" xfId="2" applyNumberFormat="1" applyFont="1" applyFill="1"/>
    <xf numFmtId="44" fontId="3" fillId="0" borderId="0" xfId="2" applyNumberFormat="1" applyFont="1" applyFill="1"/>
    <xf numFmtId="164" fontId="3" fillId="0" borderId="0" xfId="1" applyNumberFormat="1" applyFont="1" applyFill="1"/>
    <xf numFmtId="165" fontId="4" fillId="0" borderId="0" xfId="2" applyNumberFormat="1" applyFont="1" applyFill="1"/>
    <xf numFmtId="0" fontId="4" fillId="0" borderId="0" xfId="0" applyFont="1" applyFill="1"/>
    <xf numFmtId="165" fontId="4" fillId="0" borderId="0" xfId="2" applyNumberFormat="1" applyFont="1" applyBorder="1" applyAlignment="1">
      <alignment horizontal="center"/>
    </xf>
    <xf numFmtId="165" fontId="8" fillId="0" borderId="0" xfId="2" applyNumberFormat="1" applyFont="1" applyBorder="1" applyAlignment="1">
      <alignment horizontal="center"/>
    </xf>
    <xf numFmtId="44" fontId="3" fillId="0" borderId="0" xfId="1" applyNumberFormat="1" applyFont="1" applyBorder="1"/>
    <xf numFmtId="44" fontId="4" fillId="0" borderId="0" xfId="2" applyNumberFormat="1" applyFont="1" applyBorder="1"/>
    <xf numFmtId="164" fontId="3" fillId="0" borderId="0" xfId="1" applyNumberFormat="1" applyFont="1" applyBorder="1"/>
    <xf numFmtId="165" fontId="4" fillId="0" borderId="0" xfId="2" applyNumberFormat="1" applyFont="1" applyBorder="1"/>
    <xf numFmtId="165" fontId="3" fillId="0" borderId="0" xfId="2" applyNumberFormat="1" applyFont="1" applyBorder="1"/>
    <xf numFmtId="165" fontId="0" fillId="0" borderId="0" xfId="2" applyNumberFormat="1" applyFont="1" applyBorder="1"/>
    <xf numFmtId="0" fontId="4" fillId="0" borderId="0" xfId="2" applyNumberFormat="1" applyFont="1" applyBorder="1" applyAlignment="1">
      <alignment horizontal="center"/>
    </xf>
    <xf numFmtId="44" fontId="2" fillId="0" borderId="0" xfId="2" applyNumberFormat="1" applyFont="1" applyBorder="1"/>
    <xf numFmtId="0" fontId="11" fillId="0" borderId="0" xfId="0" applyFont="1"/>
    <xf numFmtId="0" fontId="7" fillId="0" borderId="1" xfId="0" applyFont="1" applyBorder="1" applyAlignment="1">
      <alignment horizontal="center" wrapText="1"/>
    </xf>
    <xf numFmtId="0" fontId="7" fillId="0" borderId="0" xfId="0" applyFont="1"/>
    <xf numFmtId="165" fontId="7" fillId="0" borderId="0" xfId="2" applyNumberFormat="1" applyFont="1"/>
    <xf numFmtId="164" fontId="0" fillId="0" borderId="1" xfId="1" applyNumberFormat="1" applyFont="1" applyBorder="1"/>
    <xf numFmtId="0" fontId="7" fillId="0" borderId="1" xfId="0" applyFont="1" applyBorder="1"/>
    <xf numFmtId="165" fontId="7" fillId="0" borderId="0" xfId="2" applyNumberFormat="1" applyFont="1" applyBorder="1"/>
    <xf numFmtId="0" fontId="3" fillId="0" borderId="0" xfId="0" applyFont="1" applyFill="1"/>
    <xf numFmtId="164" fontId="0" fillId="0" borderId="0" xfId="1" applyNumberFormat="1" applyFont="1"/>
    <xf numFmtId="44" fontId="0" fillId="0" borderId="0" xfId="1" applyFont="1"/>
    <xf numFmtId="9" fontId="0" fillId="0" borderId="0" xfId="3" applyFont="1"/>
    <xf numFmtId="164" fontId="0" fillId="0" borderId="0" xfId="0" applyNumberFormat="1"/>
    <xf numFmtId="164" fontId="2" fillId="0" borderId="0" xfId="1" applyNumberFormat="1" applyFont="1"/>
    <xf numFmtId="0" fontId="2" fillId="0" borderId="0" xfId="0" applyNumberFormat="1" applyFont="1"/>
    <xf numFmtId="0" fontId="2" fillId="0" borderId="0" xfId="1" applyNumberFormat="1" applyFont="1"/>
    <xf numFmtId="0" fontId="2" fillId="0" borderId="0" xfId="3" applyNumberFormat="1" applyFont="1"/>
    <xf numFmtId="9" fontId="2" fillId="0" borderId="0" xfId="3" applyFont="1" applyAlignment="1">
      <alignment horizontal="center"/>
    </xf>
    <xf numFmtId="9" fontId="2" fillId="0" borderId="0" xfId="3" applyNumberFormat="1" applyFont="1" applyAlignment="1">
      <alignment horizontal="center"/>
    </xf>
    <xf numFmtId="164" fontId="7" fillId="0" borderId="0" xfId="0" applyNumberFormat="1" applyFont="1"/>
    <xf numFmtId="164" fontId="7" fillId="0" borderId="0" xfId="1" applyNumberFormat="1" applyFont="1"/>
    <xf numFmtId="9" fontId="7" fillId="0" borderId="0" xfId="0" applyNumberFormat="1" applyFont="1"/>
    <xf numFmtId="9" fontId="7" fillId="0" borderId="0" xfId="3" applyNumberFormat="1" applyFont="1"/>
    <xf numFmtId="9" fontId="0" fillId="0" borderId="0" xfId="0" applyNumberFormat="1"/>
    <xf numFmtId="0" fontId="2" fillId="0" borderId="0" xfId="1" applyNumberFormat="1" applyFont="1" applyAlignment="1">
      <alignment horizontal="center"/>
    </xf>
    <xf numFmtId="44" fontId="0" fillId="0" borderId="0" xfId="4" applyFont="1"/>
    <xf numFmtId="44" fontId="2" fillId="0" borderId="0" xfId="4" applyFont="1"/>
    <xf numFmtId="44" fontId="7" fillId="0" borderId="0" xfId="4" applyFont="1"/>
    <xf numFmtId="44" fontId="0" fillId="0" borderId="0" xfId="0" applyNumberFormat="1"/>
    <xf numFmtId="14" fontId="0" fillId="0" borderId="0" xfId="0" applyNumberFormat="1"/>
    <xf numFmtId="44" fontId="2" fillId="0" borderId="0" xfId="0" applyNumberFormat="1" applyFont="1"/>
    <xf numFmtId="44" fontId="2" fillId="0" borderId="0" xfId="4" applyFont="1" applyAlignment="1">
      <alignment horizontal="center"/>
    </xf>
    <xf numFmtId="44" fontId="7" fillId="0" borderId="0" xfId="0" applyNumberFormat="1" applyFont="1" applyAlignment="1">
      <alignment horizontal="center"/>
    </xf>
    <xf numFmtId="164" fontId="0" fillId="2" borderId="0" xfId="1" applyNumberFormat="1" applyFont="1" applyFill="1"/>
    <xf numFmtId="165" fontId="6" fillId="0" borderId="0" xfId="2" applyNumberFormat="1" applyFont="1" applyBorder="1"/>
    <xf numFmtId="164" fontId="2" fillId="0" borderId="0" xfId="2" applyNumberFormat="1" applyFont="1" applyBorder="1"/>
    <xf numFmtId="164" fontId="4" fillId="0" borderId="0" xfId="2" applyNumberFormat="1" applyFont="1" applyBorder="1"/>
    <xf numFmtId="165" fontId="3" fillId="0" borderId="0" xfId="2" applyNumberFormat="1" applyFont="1" applyFill="1" applyBorder="1"/>
    <xf numFmtId="165" fontId="4" fillId="0" borderId="0" xfId="2" applyNumberFormat="1" applyFont="1" applyFill="1" applyAlignment="1">
      <alignment horizontal="center"/>
    </xf>
    <xf numFmtId="165" fontId="8" fillId="0" borderId="0" xfId="2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6" fontId="0" fillId="0" borderId="0" xfId="0" applyNumberFormat="1"/>
    <xf numFmtId="6" fontId="2" fillId="0" borderId="0" xfId="0" applyNumberFormat="1" applyFont="1"/>
    <xf numFmtId="0" fontId="7" fillId="0" borderId="0" xfId="0" applyFont="1" applyBorder="1"/>
    <xf numFmtId="164" fontId="0" fillId="0" borderId="0" xfId="1" applyNumberFormat="1" applyFont="1" applyBorder="1"/>
    <xf numFmtId="165" fontId="0" fillId="0" borderId="0" xfId="2" applyNumberFormat="1" applyFont="1" applyFill="1" applyBorder="1"/>
    <xf numFmtId="165" fontId="7" fillId="0" borderId="0" xfId="2" applyNumberFormat="1" applyFont="1" applyFill="1" applyBorder="1"/>
    <xf numFmtId="164" fontId="3" fillId="0" borderId="0" xfId="1" applyNumberFormat="1" applyFont="1" applyFill="1" applyBorder="1"/>
    <xf numFmtId="165" fontId="7" fillId="0" borderId="0" xfId="2" applyNumberFormat="1" applyFont="1" applyFill="1"/>
    <xf numFmtId="165" fontId="0" fillId="0" borderId="0" xfId="2" applyNumberFormat="1" applyFont="1" applyFill="1"/>
    <xf numFmtId="10" fontId="4" fillId="0" borderId="0" xfId="3" applyNumberFormat="1" applyFont="1" applyFill="1" applyAlignment="1">
      <alignment horizontal="left"/>
    </xf>
    <xf numFmtId="0" fontId="0" fillId="0" borderId="0" xfId="0" applyFill="1" applyBorder="1"/>
    <xf numFmtId="0" fontId="7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3" fillId="0" borderId="2" xfId="0" applyFont="1" applyBorder="1"/>
    <xf numFmtId="0" fontId="4" fillId="0" borderId="2" xfId="0" applyFont="1" applyBorder="1"/>
    <xf numFmtId="0" fontId="9" fillId="0" borderId="2" xfId="0" applyFont="1" applyBorder="1"/>
    <xf numFmtId="0" fontId="4" fillId="0" borderId="2" xfId="0" applyNumberFormat="1" applyFont="1" applyBorder="1" applyAlignment="1">
      <alignment horizontal="left"/>
    </xf>
    <xf numFmtId="14" fontId="4" fillId="0" borderId="2" xfId="0" applyNumberFormat="1" applyFont="1" applyBorder="1" applyAlignment="1">
      <alignment horizontal="left"/>
    </xf>
    <xf numFmtId="164" fontId="3" fillId="0" borderId="0" xfId="0" applyNumberFormat="1" applyFont="1" applyBorder="1"/>
    <xf numFmtId="165" fontId="3" fillId="0" borderId="0" xfId="0" applyNumberFormat="1" applyFont="1" applyBorder="1"/>
    <xf numFmtId="164" fontId="4" fillId="0" borderId="0" xfId="0" applyNumberFormat="1" applyFont="1" applyBorder="1"/>
    <xf numFmtId="165" fontId="3" fillId="0" borderId="0" xfId="1" applyNumberFormat="1" applyFont="1" applyBorder="1"/>
    <xf numFmtId="44" fontId="4" fillId="0" borderId="0" xfId="0" applyNumberFormat="1" applyFont="1" applyBorder="1"/>
    <xf numFmtId="165" fontId="6" fillId="0" borderId="0" xfId="0" applyNumberFormat="1" applyFont="1" applyBorder="1"/>
    <xf numFmtId="164" fontId="3" fillId="0" borderId="2" xfId="0" applyNumberFormat="1" applyFont="1" applyBorder="1"/>
    <xf numFmtId="164" fontId="4" fillId="0" borderId="2" xfId="0" applyNumberFormat="1" applyFont="1" applyBorder="1"/>
    <xf numFmtId="166" fontId="4" fillId="0" borderId="0" xfId="3" applyNumberFormat="1" applyFont="1" applyBorder="1" applyAlignment="1">
      <alignment horizontal="right"/>
    </xf>
    <xf numFmtId="166" fontId="4" fillId="0" borderId="2" xfId="3" applyNumberFormat="1" applyFont="1" applyBorder="1" applyAlignment="1">
      <alignment horizontal="right"/>
    </xf>
    <xf numFmtId="165" fontId="4" fillId="2" borderId="0" xfId="2" applyNumberFormat="1" applyFont="1" applyFill="1" applyBorder="1" applyAlignment="1">
      <alignment horizontal="center"/>
    </xf>
    <xf numFmtId="165" fontId="6" fillId="0" borderId="0" xfId="2" applyNumberFormat="1" applyFont="1" applyFill="1" applyBorder="1"/>
    <xf numFmtId="164" fontId="2" fillId="0" borderId="0" xfId="2" applyNumberFormat="1" applyFont="1" applyFill="1" applyBorder="1"/>
    <xf numFmtId="44" fontId="2" fillId="0" borderId="0" xfId="2" applyNumberFormat="1" applyFont="1" applyFill="1" applyBorder="1"/>
    <xf numFmtId="44" fontId="3" fillId="0" borderId="0" xfId="2" applyNumberFormat="1" applyFont="1" applyFill="1" applyBorder="1"/>
    <xf numFmtId="165" fontId="4" fillId="0" borderId="0" xfId="2" applyNumberFormat="1" applyFont="1" applyFill="1" applyBorder="1"/>
    <xf numFmtId="0" fontId="8" fillId="2" borderId="0" xfId="2" applyNumberFormat="1" applyFont="1" applyFill="1" applyBorder="1" applyAlignment="1">
      <alignment horizontal="center"/>
    </xf>
    <xf numFmtId="165" fontId="3" fillId="0" borderId="2" xfId="2" applyNumberFormat="1" applyFont="1" applyBorder="1"/>
    <xf numFmtId="165" fontId="6" fillId="0" borderId="2" xfId="2" applyNumberFormat="1" applyFont="1" applyBorder="1"/>
    <xf numFmtId="165" fontId="3" fillId="0" borderId="2" xfId="2" applyNumberFormat="1" applyFont="1" applyBorder="1" applyAlignment="1">
      <alignment horizontal="right"/>
    </xf>
    <xf numFmtId="164" fontId="4" fillId="0" borderId="0" xfId="1" applyNumberFormat="1" applyFont="1" applyBorder="1"/>
    <xf numFmtId="9" fontId="3" fillId="0" borderId="0" xfId="1" applyNumberFormat="1" applyFont="1" applyFill="1" applyAlignment="1">
      <alignment horizontal="left"/>
    </xf>
    <xf numFmtId="9" fontId="3" fillId="0" borderId="0" xfId="2" applyNumberFormat="1" applyFont="1" applyFill="1" applyAlignment="1">
      <alignment horizontal="left"/>
    </xf>
    <xf numFmtId="164" fontId="14" fillId="0" borderId="0" xfId="1" applyNumberFormat="1" applyFont="1" applyBorder="1"/>
    <xf numFmtId="44" fontId="4" fillId="0" borderId="0" xfId="1" applyNumberFormat="1" applyFont="1" applyBorder="1"/>
    <xf numFmtId="0" fontId="4" fillId="3" borderId="0" xfId="0" applyFont="1" applyFill="1"/>
    <xf numFmtId="10" fontId="0" fillId="3" borderId="0" xfId="3" applyNumberFormat="1" applyFont="1" applyFill="1"/>
    <xf numFmtId="0" fontId="3" fillId="3" borderId="0" xfId="0" applyFont="1" applyFill="1"/>
    <xf numFmtId="165" fontId="8" fillId="3" borderId="0" xfId="2" applyNumberFormat="1" applyFont="1" applyFill="1" applyBorder="1" applyAlignment="1">
      <alignment horizontal="center"/>
    </xf>
    <xf numFmtId="167" fontId="3" fillId="0" borderId="0" xfId="2" applyNumberFormat="1" applyFont="1" applyFill="1" applyBorder="1"/>
    <xf numFmtId="165" fontId="3" fillId="0" borderId="0" xfId="2" quotePrefix="1" applyNumberFormat="1" applyFont="1" applyFill="1"/>
    <xf numFmtId="164" fontId="4" fillId="0" borderId="0" xfId="1" applyNumberFormat="1" applyFont="1" applyFill="1" applyBorder="1"/>
    <xf numFmtId="44" fontId="3" fillId="0" borderId="0" xfId="1" applyNumberFormat="1" applyFont="1" applyFill="1" applyBorder="1"/>
    <xf numFmtId="165" fontId="14" fillId="0" borderId="0" xfId="2" applyNumberFormat="1" applyFont="1" applyFill="1" applyBorder="1"/>
    <xf numFmtId="0" fontId="0" fillId="4" borderId="0" xfId="0" applyFill="1"/>
    <xf numFmtId="44" fontId="0" fillId="4" borderId="0" xfId="4" applyFont="1" applyFill="1"/>
    <xf numFmtId="44" fontId="0" fillId="4" borderId="0" xfId="0" applyNumberFormat="1" applyFill="1"/>
    <xf numFmtId="0" fontId="1" fillId="4" borderId="0" xfId="0" applyFont="1" applyFill="1"/>
    <xf numFmtId="0" fontId="1" fillId="0" borderId="0" xfId="0" applyFont="1"/>
    <xf numFmtId="165" fontId="1" fillId="0" borderId="0" xfId="2" applyNumberFormat="1" applyFont="1" applyFill="1"/>
    <xf numFmtId="165" fontId="1" fillId="3" borderId="0" xfId="2" applyNumberFormat="1" applyFont="1" applyFill="1"/>
    <xf numFmtId="165" fontId="16" fillId="0" borderId="0" xfId="2" applyNumberFormat="1" applyFont="1"/>
    <xf numFmtId="165" fontId="0" fillId="0" borderId="0" xfId="0" applyNumberFormat="1"/>
    <xf numFmtId="0" fontId="0" fillId="0" borderId="0" xfId="0" applyAlignment="1">
      <alignment horizontal="right"/>
    </xf>
    <xf numFmtId="0" fontId="0" fillId="0" borderId="3" xfId="0" applyBorder="1"/>
    <xf numFmtId="165" fontId="0" fillId="0" borderId="4" xfId="2" applyNumberFormat="1" applyFont="1" applyBorder="1"/>
    <xf numFmtId="164" fontId="0" fillId="0" borderId="4" xfId="1" applyNumberFormat="1" applyFont="1" applyBorder="1"/>
    <xf numFmtId="165" fontId="16" fillId="0" borderId="4" xfId="2" applyNumberFormat="1" applyFont="1" applyBorder="1"/>
    <xf numFmtId="0" fontId="1" fillId="0" borderId="3" xfId="0" applyFont="1" applyBorder="1"/>
    <xf numFmtId="168" fontId="3" fillId="0" borderId="0" xfId="0" applyNumberFormat="1" applyFont="1"/>
    <xf numFmtId="9" fontId="3" fillId="2" borderId="0" xfId="2" applyNumberFormat="1" applyFont="1" applyFill="1" applyAlignment="1">
      <alignment horizontal="left"/>
    </xf>
    <xf numFmtId="44" fontId="3" fillId="2" borderId="0" xfId="1" applyNumberFormat="1" applyFont="1" applyFill="1"/>
    <xf numFmtId="14" fontId="11" fillId="0" borderId="0" xfId="5" applyNumberFormat="1" applyFont="1" applyAlignment="1">
      <alignment horizontal="left"/>
    </xf>
    <xf numFmtId="14" fontId="3" fillId="0" borderId="0" xfId="0" applyNumberFormat="1" applyFont="1"/>
    <xf numFmtId="0" fontId="0" fillId="0" borderId="0" xfId="0" applyFill="1"/>
    <xf numFmtId="0" fontId="1" fillId="2" borderId="0" xfId="0" applyFont="1" applyFill="1"/>
    <xf numFmtId="0" fontId="0" fillId="2" borderId="5" xfId="0" applyFill="1" applyBorder="1"/>
    <xf numFmtId="165" fontId="17" fillId="2" borderId="6" xfId="2" applyNumberFormat="1" applyFont="1" applyFill="1" applyBorder="1"/>
    <xf numFmtId="0" fontId="1" fillId="2" borderId="0" xfId="0" applyFont="1" applyFill="1" applyBorder="1"/>
    <xf numFmtId="165" fontId="0" fillId="2" borderId="0" xfId="2" applyNumberFormat="1" applyFont="1" applyFill="1"/>
    <xf numFmtId="0" fontId="0" fillId="2" borderId="0" xfId="0" applyFill="1"/>
    <xf numFmtId="165" fontId="0" fillId="2" borderId="0" xfId="0" applyNumberFormat="1" applyFill="1"/>
    <xf numFmtId="165" fontId="2" fillId="0" borderId="0" xfId="2" applyNumberFormat="1" applyFont="1" applyFill="1" applyBorder="1"/>
    <xf numFmtId="165" fontId="3" fillId="0" borderId="2" xfId="2" applyNumberFormat="1" applyFont="1" applyFill="1" applyBorder="1"/>
    <xf numFmtId="0" fontId="4" fillId="0" borderId="0" xfId="0" applyFont="1" applyBorder="1"/>
    <xf numFmtId="0" fontId="0" fillId="0" borderId="0" xfId="0" applyBorder="1"/>
    <xf numFmtId="0" fontId="3" fillId="0" borderId="0" xfId="0" applyFont="1" applyFill="1" applyBorder="1"/>
    <xf numFmtId="0" fontId="9" fillId="0" borderId="0" xfId="0" applyFont="1" applyBorder="1"/>
    <xf numFmtId="0" fontId="3" fillId="0" borderId="0" xfId="0" applyFont="1" applyBorder="1"/>
    <xf numFmtId="44" fontId="3" fillId="0" borderId="0" xfId="1" applyFont="1" applyBorder="1"/>
    <xf numFmtId="0" fontId="3" fillId="0" borderId="0" xfId="0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14" fontId="4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center"/>
    </xf>
    <xf numFmtId="165" fontId="8" fillId="2" borderId="0" xfId="2" applyNumberFormat="1" applyFont="1" applyFill="1" applyBorder="1" applyAlignment="1">
      <alignment horizontal="center"/>
    </xf>
    <xf numFmtId="164" fontId="5" fillId="0" borderId="0" xfId="1" applyNumberFormat="1" applyFont="1" applyBorder="1"/>
    <xf numFmtId="44" fontId="4" fillId="0" borderId="0" xfId="1" applyNumberFormat="1" applyFont="1" applyFill="1" applyBorder="1"/>
    <xf numFmtId="166" fontId="4" fillId="0" borderId="0" xfId="3" applyNumberFormat="1" applyFont="1" applyFill="1" applyBorder="1"/>
    <xf numFmtId="167" fontId="3" fillId="0" borderId="2" xfId="2" applyNumberFormat="1" applyFont="1" applyFill="1" applyBorder="1"/>
    <xf numFmtId="165" fontId="4" fillId="2" borderId="2" xfId="2" applyNumberFormat="1" applyFont="1" applyFill="1" applyBorder="1" applyAlignment="1">
      <alignment horizontal="center"/>
    </xf>
    <xf numFmtId="0" fontId="8" fillId="2" borderId="2" xfId="2" applyNumberFormat="1" applyFont="1" applyFill="1" applyBorder="1" applyAlignment="1">
      <alignment horizontal="center"/>
    </xf>
    <xf numFmtId="164" fontId="3" fillId="0" borderId="2" xfId="1" applyNumberFormat="1" applyFont="1" applyFill="1" applyBorder="1"/>
    <xf numFmtId="165" fontId="4" fillId="0" borderId="2" xfId="2" applyNumberFormat="1" applyFont="1" applyFill="1" applyBorder="1"/>
    <xf numFmtId="165" fontId="3" fillId="0" borderId="2" xfId="0" applyNumberFormat="1" applyFont="1" applyBorder="1"/>
    <xf numFmtId="165" fontId="6" fillId="0" borderId="2" xfId="0" applyNumberFormat="1" applyFont="1" applyBorder="1"/>
    <xf numFmtId="164" fontId="2" fillId="0" borderId="2" xfId="2" applyNumberFormat="1" applyFont="1" applyFill="1" applyBorder="1"/>
    <xf numFmtId="44" fontId="2" fillId="0" borderId="2" xfId="2" applyNumberFormat="1" applyFont="1" applyFill="1" applyBorder="1"/>
    <xf numFmtId="165" fontId="6" fillId="0" borderId="2" xfId="2" applyNumberFormat="1" applyFont="1" applyFill="1" applyBorder="1"/>
    <xf numFmtId="44" fontId="3" fillId="0" borderId="2" xfId="2" applyNumberFormat="1" applyFont="1" applyFill="1" applyBorder="1"/>
    <xf numFmtId="44" fontId="4" fillId="0" borderId="2" xfId="0" applyNumberFormat="1" applyFont="1" applyBorder="1"/>
    <xf numFmtId="164" fontId="4" fillId="0" borderId="2" xfId="1" applyNumberFormat="1" applyFont="1" applyFill="1" applyBorder="1"/>
    <xf numFmtId="44" fontId="3" fillId="0" borderId="2" xfId="1" applyNumberFormat="1" applyFont="1" applyFill="1" applyBorder="1"/>
    <xf numFmtId="165" fontId="14" fillId="0" borderId="2" xfId="2" applyNumberFormat="1" applyFont="1" applyFill="1" applyBorder="1"/>
    <xf numFmtId="165" fontId="3" fillId="0" borderId="2" xfId="1" applyNumberFormat="1" applyFont="1" applyBorder="1"/>
    <xf numFmtId="164" fontId="4" fillId="0" borderId="2" xfId="0" applyNumberFormat="1" applyFont="1" applyFill="1" applyBorder="1"/>
    <xf numFmtId="44" fontId="9" fillId="0" borderId="2" xfId="0" applyNumberFormat="1" applyFont="1" applyBorder="1"/>
    <xf numFmtId="0" fontId="4" fillId="0" borderId="8" xfId="0" applyFont="1" applyBorder="1"/>
    <xf numFmtId="44" fontId="4" fillId="2" borderId="0" xfId="0" applyNumberFormat="1" applyFont="1" applyFill="1"/>
    <xf numFmtId="0" fontId="4" fillId="0" borderId="9" xfId="0" applyFont="1" applyBorder="1"/>
    <xf numFmtId="167" fontId="3" fillId="0" borderId="7" xfId="2" applyNumberFormat="1" applyFont="1" applyFill="1" applyBorder="1"/>
    <xf numFmtId="165" fontId="4" fillId="2" borderId="7" xfId="2" applyNumberFormat="1" applyFont="1" applyFill="1" applyBorder="1" applyAlignment="1">
      <alignment horizontal="center"/>
    </xf>
    <xf numFmtId="0" fontId="8" fillId="2" borderId="7" xfId="2" applyNumberFormat="1" applyFont="1" applyFill="1" applyBorder="1" applyAlignment="1">
      <alignment horizontal="center"/>
    </xf>
    <xf numFmtId="0" fontId="3" fillId="2" borderId="0" xfId="0" applyFont="1" applyFill="1"/>
    <xf numFmtId="164" fontId="3" fillId="2" borderId="2" xfId="1" applyNumberFormat="1" applyFont="1" applyFill="1" applyBorder="1" applyAlignment="1">
      <alignment horizontal="center"/>
    </xf>
    <xf numFmtId="165" fontId="10" fillId="0" borderId="0" xfId="2" applyNumberFormat="1" applyFont="1" applyBorder="1" applyAlignment="1">
      <alignment horizontal="center"/>
    </xf>
    <xf numFmtId="164" fontId="3" fillId="2" borderId="0" xfId="1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5" fontId="4" fillId="2" borderId="1" xfId="2" applyNumberFormat="1" applyFont="1" applyFill="1" applyBorder="1" applyAlignment="1">
      <alignment horizontal="center"/>
    </xf>
  </cellXfs>
  <cellStyles count="6">
    <cellStyle name="Comma" xfId="2" builtinId="3"/>
    <cellStyle name="Currency" xfId="1" builtinId="4"/>
    <cellStyle name="Currency 2" xfId="4"/>
    <cellStyle name="Hyperlink" xfId="5" builtinId="8"/>
    <cellStyle name="Normal" xfId="0" builtinId="0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38</xdr:col>
      <xdr:colOff>561975</xdr:colOff>
      <xdr:row>189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26775" cy="3061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4"/>
  <sheetViews>
    <sheetView tabSelected="1" zoomScaleNormal="100" workbookViewId="0">
      <selection activeCell="E18" sqref="E18"/>
    </sheetView>
  </sheetViews>
  <sheetFormatPr defaultRowHeight="12.75" x14ac:dyDescent="0.2"/>
  <cols>
    <col min="1" max="1" width="53" customWidth="1"/>
    <col min="2" max="2" width="14" style="9" bestFit="1" customWidth="1"/>
    <col min="3" max="3" width="15.140625" customWidth="1"/>
    <col min="4" max="4" width="11.28515625" bestFit="1" customWidth="1"/>
    <col min="5" max="5" width="45.140625" customWidth="1"/>
    <col min="6" max="6" width="33" customWidth="1"/>
    <col min="7" max="7" width="24.7109375" customWidth="1"/>
    <col min="9" max="9" width="11.5703125" customWidth="1"/>
  </cols>
  <sheetData>
    <row r="1" spans="1:3" x14ac:dyDescent="0.2">
      <c r="A1" s="138">
        <f ca="1">NOW()</f>
        <v>42780.48384050926</v>
      </c>
    </row>
    <row r="2" spans="1:3" x14ac:dyDescent="0.2">
      <c r="A2" s="138"/>
    </row>
    <row r="3" spans="1:3" x14ac:dyDescent="0.2">
      <c r="A3" s="138"/>
    </row>
    <row r="4" spans="1:3" x14ac:dyDescent="0.2">
      <c r="A4" s="130" t="s">
        <v>283</v>
      </c>
      <c r="B4" s="132">
        <v>910714</v>
      </c>
    </row>
    <row r="5" spans="1:3" x14ac:dyDescent="0.2">
      <c r="A5" s="130" t="s">
        <v>284</v>
      </c>
      <c r="B5" s="131">
        <v>418357</v>
      </c>
    </row>
    <row r="6" spans="1:3" x14ac:dyDescent="0.2">
      <c r="A6" s="130" t="s">
        <v>285</v>
      </c>
      <c r="B6" s="131">
        <v>137000</v>
      </c>
    </row>
    <row r="7" spans="1:3" x14ac:dyDescent="0.2">
      <c r="A7" s="130" t="s">
        <v>286</v>
      </c>
      <c r="B7" s="131">
        <v>25000</v>
      </c>
    </row>
    <row r="8" spans="1:3" ht="15" x14ac:dyDescent="0.35">
      <c r="A8" s="130" t="s">
        <v>287</v>
      </c>
      <c r="B8" s="133">
        <v>70000</v>
      </c>
    </row>
    <row r="9" spans="1:3" x14ac:dyDescent="0.2">
      <c r="A9" s="130" t="s">
        <v>302</v>
      </c>
      <c r="B9" s="132">
        <f>SUM(B4:B8)</f>
        <v>1561071</v>
      </c>
    </row>
    <row r="10" spans="1:3" x14ac:dyDescent="0.2">
      <c r="A10" s="130"/>
      <c r="B10" s="131"/>
    </row>
    <row r="11" spans="1:3" x14ac:dyDescent="0.2">
      <c r="A11" s="134" t="s">
        <v>288</v>
      </c>
      <c r="B11" s="132">
        <f>SUM(B9:B10)</f>
        <v>1561071</v>
      </c>
    </row>
    <row r="12" spans="1:3" ht="15" x14ac:dyDescent="0.35">
      <c r="A12" s="134" t="s">
        <v>321</v>
      </c>
      <c r="B12" s="133">
        <v>-61071</v>
      </c>
    </row>
    <row r="13" spans="1:3" ht="15.75" thickBot="1" x14ac:dyDescent="0.4">
      <c r="A13" s="142" t="s">
        <v>301</v>
      </c>
      <c r="B13" s="143">
        <f>SUM(B11:B12)</f>
        <v>1500000</v>
      </c>
      <c r="C13" s="124" t="s">
        <v>319</v>
      </c>
    </row>
    <row r="14" spans="1:3" x14ac:dyDescent="0.2">
      <c r="C14" s="124"/>
    </row>
    <row r="15" spans="1:3" x14ac:dyDescent="0.2">
      <c r="A15" t="s">
        <v>303</v>
      </c>
      <c r="B15" s="9">
        <f>+B9</f>
        <v>1561071</v>
      </c>
    </row>
    <row r="16" spans="1:3" ht="15" customHeight="1" x14ac:dyDescent="0.2">
      <c r="A16" t="s">
        <v>296</v>
      </c>
      <c r="B16" s="9">
        <v>-150000</v>
      </c>
    </row>
    <row r="17" spans="1:7" ht="15" customHeight="1" x14ac:dyDescent="0.2">
      <c r="A17" s="124" t="s">
        <v>307</v>
      </c>
      <c r="B17" s="9">
        <v>112000</v>
      </c>
    </row>
    <row r="18" spans="1:7" ht="15" customHeight="1" x14ac:dyDescent="0.35">
      <c r="A18" s="124" t="s">
        <v>315</v>
      </c>
      <c r="B18" s="127">
        <f>143000</f>
        <v>143000</v>
      </c>
      <c r="C18" s="129" t="s">
        <v>304</v>
      </c>
    </row>
    <row r="19" spans="1:7" ht="15" customHeight="1" x14ac:dyDescent="0.2">
      <c r="A19" s="144" t="s">
        <v>300</v>
      </c>
      <c r="B19" s="145">
        <f>SUM(B15:B18)</f>
        <v>1666071</v>
      </c>
    </row>
    <row r="20" spans="1:7" ht="15" customHeight="1" x14ac:dyDescent="0.2"/>
    <row r="21" spans="1:7" ht="15" customHeight="1" x14ac:dyDescent="0.2">
      <c r="A21" s="124" t="s">
        <v>289</v>
      </c>
      <c r="B21" s="9">
        <f>2077+12</f>
        <v>2089</v>
      </c>
    </row>
    <row r="23" spans="1:7" x14ac:dyDescent="0.2">
      <c r="A23" s="124" t="s">
        <v>290</v>
      </c>
      <c r="B23" s="40">
        <f>+B19/B21+2.455</f>
        <v>799.9997582575395</v>
      </c>
    </row>
    <row r="24" spans="1:7" x14ac:dyDescent="0.2">
      <c r="A24" s="124"/>
    </row>
    <row r="25" spans="1:7" x14ac:dyDescent="0.2">
      <c r="A25" t="s">
        <v>292</v>
      </c>
      <c r="B25" s="9">
        <f>+B23-50</f>
        <v>749.9997582575395</v>
      </c>
      <c r="C25" s="141" t="s">
        <v>299</v>
      </c>
      <c r="D25" s="128">
        <f>B25*1000</f>
        <v>749999.75825753948</v>
      </c>
      <c r="E25" t="s">
        <v>298</v>
      </c>
    </row>
    <row r="27" spans="1:7" x14ac:dyDescent="0.2">
      <c r="A27" t="s">
        <v>294</v>
      </c>
      <c r="B27" s="9">
        <f>+B23</f>
        <v>799.9997582575395</v>
      </c>
      <c r="D27" s="9">
        <f>(B$27/2)*1089</f>
        <v>435599.86837123026</v>
      </c>
      <c r="E27" s="124" t="s">
        <v>317</v>
      </c>
    </row>
    <row r="28" spans="1:7" ht="15" x14ac:dyDescent="0.35">
      <c r="D28" s="127">
        <f>(B$27/2)*1089</f>
        <v>435599.86837123026</v>
      </c>
      <c r="E28" s="124" t="s">
        <v>318</v>
      </c>
    </row>
    <row r="29" spans="1:7" x14ac:dyDescent="0.2">
      <c r="A29" s="141" t="s">
        <v>314</v>
      </c>
      <c r="B29" s="145"/>
      <c r="C29" s="146"/>
      <c r="D29" s="147">
        <f>SUM(D25:D28)</f>
        <v>1621199.4950000001</v>
      </c>
      <c r="F29" s="140"/>
      <c r="G29" s="140"/>
    </row>
    <row r="30" spans="1:7" x14ac:dyDescent="0.2">
      <c r="D30" s="128"/>
    </row>
    <row r="31" spans="1:7" x14ac:dyDescent="0.2">
      <c r="D31" s="128">
        <f>+D29-B19</f>
        <v>-44871.504999999888</v>
      </c>
      <c r="E31" s="124" t="s">
        <v>316</v>
      </c>
    </row>
    <row r="33" spans="1:1" x14ac:dyDescent="0.2">
      <c r="A33" s="1" t="s">
        <v>320</v>
      </c>
    </row>
    <row r="34" spans="1:1" x14ac:dyDescent="0.2">
      <c r="A34" s="1" t="s">
        <v>306</v>
      </c>
    </row>
  </sheetData>
  <sheetProtection algorithmName="SHA-512" hashValue="ydXlVMyWpCJWmEClU2LoNjKgS4lJmKk8XKGZu32tkLXlbpQF2xeNZ8cDDaeDDmsIet0NrkfF3N4Qq+vCD5CLMw==" saltValue="3On/LLHNKf+4o2h+JXDsMQ==" spinCount="100000" sheet="1" objects="1" scenarios="1"/>
  <pageMargins left="0.7" right="0.7" top="0.75" bottom="0.75" header="0.3" footer="0.3"/>
  <pageSetup scale="90" orientation="landscape" r:id="rId1"/>
  <headerFooter>
    <oddHeader xml:space="preserve">&amp;CELWCA
2017 Drainage Project
Funding needs and repayment proposal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6"/>
  <sheetViews>
    <sheetView workbookViewId="0">
      <pane xSplit="1" ySplit="1" topLeftCell="B10" activePane="bottomRight" state="frozen"/>
      <selection pane="topRight" activeCell="B1" sqref="B1"/>
      <selection pane="bottomLeft" activeCell="A2" sqref="A2"/>
      <selection pane="bottomRight" activeCell="F34" sqref="F34"/>
    </sheetView>
  </sheetViews>
  <sheetFormatPr defaultRowHeight="12.75" x14ac:dyDescent="0.2"/>
  <cols>
    <col min="1" max="1" width="17.42578125" customWidth="1"/>
    <col min="2" max="2" width="10.7109375" customWidth="1"/>
    <col min="3" max="4" width="12" customWidth="1"/>
    <col min="5" max="5" width="12.28515625" bestFit="1" customWidth="1"/>
    <col min="6" max="6" width="41.42578125" customWidth="1"/>
  </cols>
  <sheetData>
    <row r="1" spans="1:6" ht="46.5" customHeight="1" x14ac:dyDescent="0.2">
      <c r="B1" s="29" t="s">
        <v>115</v>
      </c>
      <c r="C1" s="29" t="s">
        <v>116</v>
      </c>
      <c r="D1" s="29" t="s">
        <v>138</v>
      </c>
      <c r="E1" s="28" t="s">
        <v>117</v>
      </c>
    </row>
    <row r="3" spans="1:6" x14ac:dyDescent="0.2">
      <c r="A3" s="33" t="s">
        <v>118</v>
      </c>
      <c r="B3" s="32">
        <v>156529</v>
      </c>
      <c r="C3" s="32">
        <v>489404</v>
      </c>
      <c r="D3" s="32"/>
      <c r="E3" s="32">
        <f>SUM(B3:D3)</f>
        <v>645933</v>
      </c>
      <c r="F3" s="31" t="s">
        <v>132</v>
      </c>
    </row>
    <row r="4" spans="1:6" x14ac:dyDescent="0.2">
      <c r="B4" s="9"/>
      <c r="C4" s="9"/>
      <c r="D4" s="9"/>
      <c r="E4" s="9"/>
      <c r="F4" s="9"/>
    </row>
    <row r="5" spans="1:6" x14ac:dyDescent="0.2">
      <c r="A5" s="30" t="s">
        <v>120</v>
      </c>
      <c r="B5" s="9">
        <v>1284071</v>
      </c>
      <c r="C5" s="9">
        <v>158875</v>
      </c>
      <c r="D5" s="9"/>
      <c r="E5" s="9">
        <f>SUM(B5:D5)</f>
        <v>1442946</v>
      </c>
      <c r="F5" s="9"/>
    </row>
    <row r="6" spans="1:6" x14ac:dyDescent="0.2">
      <c r="A6" s="30" t="s">
        <v>121</v>
      </c>
      <c r="B6" s="9">
        <v>-1249307</v>
      </c>
      <c r="C6" s="9">
        <v>-359598</v>
      </c>
      <c r="D6" s="9"/>
      <c r="E6" s="9">
        <f>SUM(B6:D6)</f>
        <v>-1608905</v>
      </c>
      <c r="F6" s="31" t="s">
        <v>137</v>
      </c>
    </row>
    <row r="7" spans="1:6" x14ac:dyDescent="0.2">
      <c r="B7" s="9"/>
      <c r="C7" s="9"/>
      <c r="D7" s="9"/>
      <c r="E7" s="9"/>
      <c r="F7" s="9"/>
    </row>
    <row r="8" spans="1:6" x14ac:dyDescent="0.2">
      <c r="A8" s="33" t="s">
        <v>119</v>
      </c>
      <c r="B8" s="32">
        <f>SUM(B3:B7)</f>
        <v>191293</v>
      </c>
      <c r="C8" s="32">
        <f t="shared" ref="C8:E8" si="0">SUM(C3:C7)</f>
        <v>288681</v>
      </c>
      <c r="D8" s="32">
        <f t="shared" si="0"/>
        <v>0</v>
      </c>
      <c r="E8" s="32">
        <f t="shared" si="0"/>
        <v>479974</v>
      </c>
      <c r="F8" s="34" t="s">
        <v>131</v>
      </c>
    </row>
    <row r="9" spans="1:6" x14ac:dyDescent="0.2">
      <c r="B9" s="9"/>
      <c r="C9" s="9"/>
      <c r="D9" s="9"/>
      <c r="E9" s="9"/>
      <c r="F9" s="9"/>
    </row>
    <row r="10" spans="1:6" x14ac:dyDescent="0.2">
      <c r="A10" s="30" t="s">
        <v>122</v>
      </c>
      <c r="B10" s="9">
        <v>1249475</v>
      </c>
      <c r="C10" s="9">
        <v>190287</v>
      </c>
      <c r="D10" s="9"/>
      <c r="E10" s="9">
        <f>SUM(B10:D10)</f>
        <v>1439762</v>
      </c>
      <c r="F10" s="31" t="s">
        <v>135</v>
      </c>
    </row>
    <row r="11" spans="1:6" x14ac:dyDescent="0.2">
      <c r="A11" s="30" t="s">
        <v>123</v>
      </c>
      <c r="B11" s="9">
        <v>-1243055</v>
      </c>
      <c r="C11" s="9">
        <v>-151370</v>
      </c>
      <c r="D11" s="9"/>
      <c r="E11" s="9">
        <f>SUM(B11:D11)</f>
        <v>-1394425</v>
      </c>
      <c r="F11" s="31" t="s">
        <v>136</v>
      </c>
    </row>
    <row r="12" spans="1:6" x14ac:dyDescent="0.2">
      <c r="B12" s="9"/>
      <c r="C12" s="9"/>
      <c r="D12" s="9"/>
      <c r="E12" s="9"/>
      <c r="F12" s="9"/>
    </row>
    <row r="13" spans="1:6" x14ac:dyDescent="0.2">
      <c r="A13" s="33" t="s">
        <v>124</v>
      </c>
      <c r="B13" s="32">
        <f>SUM(B8:B12)</f>
        <v>197713</v>
      </c>
      <c r="C13" s="32">
        <f t="shared" ref="C13:D13" si="1">SUM(C8:C12)</f>
        <v>327598</v>
      </c>
      <c r="D13" s="32">
        <f t="shared" si="1"/>
        <v>0</v>
      </c>
      <c r="E13" s="32">
        <f t="shared" ref="E13" si="2">SUM(E8:E12)</f>
        <v>525311</v>
      </c>
      <c r="F13" s="31" t="s">
        <v>130</v>
      </c>
    </row>
    <row r="14" spans="1:6" x14ac:dyDescent="0.2">
      <c r="B14" s="9"/>
      <c r="C14" s="9"/>
      <c r="D14" s="9"/>
      <c r="E14" s="9"/>
      <c r="F14" s="9"/>
    </row>
    <row r="15" spans="1:6" x14ac:dyDescent="0.2">
      <c r="A15" s="30" t="s">
        <v>125</v>
      </c>
      <c r="B15" s="9">
        <v>1246740</v>
      </c>
      <c r="C15" s="9">
        <v>189846</v>
      </c>
      <c r="D15" s="9"/>
      <c r="E15" s="9">
        <f>SUM(B15:D15)</f>
        <v>1436586</v>
      </c>
      <c r="F15" s="31" t="s">
        <v>135</v>
      </c>
    </row>
    <row r="16" spans="1:6" x14ac:dyDescent="0.2">
      <c r="A16" s="30" t="s">
        <v>126</v>
      </c>
      <c r="B16" s="9">
        <v>-1246206</v>
      </c>
      <c r="C16" s="9">
        <v>-148867</v>
      </c>
      <c r="D16" s="9"/>
      <c r="E16" s="9">
        <f>SUM(B16:D16)</f>
        <v>-1395073</v>
      </c>
      <c r="F16" s="31" t="s">
        <v>133</v>
      </c>
    </row>
    <row r="17" spans="1:6" x14ac:dyDescent="0.2">
      <c r="B17" s="9"/>
      <c r="C17" s="9"/>
      <c r="D17" s="9"/>
      <c r="E17" s="9"/>
      <c r="F17" s="9"/>
    </row>
    <row r="18" spans="1:6" x14ac:dyDescent="0.2">
      <c r="A18" s="33" t="s">
        <v>127</v>
      </c>
      <c r="B18" s="32">
        <f>SUM(B13:B17)</f>
        <v>198247</v>
      </c>
      <c r="C18" s="32">
        <f t="shared" ref="C18:D18" si="3">SUM(C13:C17)</f>
        <v>368577</v>
      </c>
      <c r="D18" s="32">
        <f t="shared" si="3"/>
        <v>0</v>
      </c>
      <c r="E18" s="32">
        <f t="shared" ref="E18" si="4">SUM(E13:E17)</f>
        <v>566824</v>
      </c>
      <c r="F18" s="31" t="s">
        <v>130</v>
      </c>
    </row>
    <row r="19" spans="1:6" x14ac:dyDescent="0.2">
      <c r="B19" s="9"/>
      <c r="C19" s="9"/>
      <c r="D19" s="9"/>
      <c r="E19" s="9"/>
      <c r="F19" s="9"/>
    </row>
    <row r="20" spans="1:6" ht="12" customHeight="1" x14ac:dyDescent="0.2">
      <c r="A20" s="30" t="s">
        <v>128</v>
      </c>
      <c r="B20" s="9">
        <v>1274259</v>
      </c>
      <c r="C20" s="9">
        <v>188476</v>
      </c>
      <c r="D20" s="9"/>
      <c r="E20" s="9">
        <f>SUM(B20:D20)</f>
        <v>1462735</v>
      </c>
      <c r="F20" s="31" t="s">
        <v>134</v>
      </c>
    </row>
    <row r="21" spans="1:6" x14ac:dyDescent="0.2">
      <c r="A21" s="30" t="s">
        <v>129</v>
      </c>
      <c r="B21" s="9">
        <v>-1281617</v>
      </c>
      <c r="C21" s="72">
        <v>-211041</v>
      </c>
      <c r="D21" s="72"/>
      <c r="E21" s="72">
        <f>SUM(B21:D21)</f>
        <v>-1492658</v>
      </c>
      <c r="F21" s="73" t="s">
        <v>247</v>
      </c>
    </row>
    <row r="22" spans="1:6" x14ac:dyDescent="0.2">
      <c r="B22" s="9"/>
      <c r="C22" s="9"/>
      <c r="D22" s="9"/>
      <c r="E22" s="9"/>
      <c r="F22" s="9"/>
    </row>
    <row r="23" spans="1:6" x14ac:dyDescent="0.2">
      <c r="A23" s="33" t="s">
        <v>246</v>
      </c>
      <c r="B23" s="32">
        <f>SUM(B18:B22)</f>
        <v>190889</v>
      </c>
      <c r="C23" s="32">
        <f t="shared" ref="C23:D23" si="5">SUM(C18:C22)</f>
        <v>346012</v>
      </c>
      <c r="D23" s="32">
        <f t="shared" si="5"/>
        <v>0</v>
      </c>
      <c r="E23" s="32">
        <f t="shared" ref="E23" si="6">SUM(E18:E22)</f>
        <v>536901</v>
      </c>
      <c r="F23" s="31" t="s">
        <v>130</v>
      </c>
    </row>
    <row r="24" spans="1:6" x14ac:dyDescent="0.2">
      <c r="B24" s="9"/>
      <c r="C24" s="9"/>
      <c r="D24" s="9"/>
      <c r="E24" s="9"/>
      <c r="F24" s="9"/>
    </row>
    <row r="25" spans="1:6" ht="12" customHeight="1" x14ac:dyDescent="0.2">
      <c r="A25" s="30" t="s">
        <v>248</v>
      </c>
      <c r="B25" s="9">
        <v>1285874</v>
      </c>
      <c r="C25" s="76">
        <f>109200+1705+110227</f>
        <v>221132</v>
      </c>
      <c r="D25" s="76"/>
      <c r="E25" s="9">
        <f>SUM(B25:D25)</f>
        <v>1507006</v>
      </c>
      <c r="F25" s="31" t="s">
        <v>253</v>
      </c>
    </row>
    <row r="26" spans="1:6" x14ac:dyDescent="0.2">
      <c r="A26" s="30" t="s">
        <v>249</v>
      </c>
      <c r="B26" s="9">
        <v>-1330596</v>
      </c>
      <c r="C26" s="76">
        <f>-84990-149869</f>
        <v>-234859</v>
      </c>
      <c r="D26" s="76">
        <f>-D41</f>
        <v>0</v>
      </c>
      <c r="E26" s="9">
        <f>SUM(B26:D26)</f>
        <v>-1565455</v>
      </c>
      <c r="F26" s="75" t="s">
        <v>256</v>
      </c>
    </row>
    <row r="27" spans="1:6" x14ac:dyDescent="0.2">
      <c r="B27" s="9"/>
      <c r="C27" s="9"/>
      <c r="D27" s="9"/>
      <c r="E27" s="9"/>
      <c r="F27" s="9"/>
    </row>
    <row r="28" spans="1:6" x14ac:dyDescent="0.2">
      <c r="A28" s="33" t="s">
        <v>257</v>
      </c>
      <c r="B28" s="32">
        <f>SUM(B23:B27)</f>
        <v>146167</v>
      </c>
      <c r="C28" s="32">
        <f t="shared" ref="C28:E28" si="7">SUM(C23:C27)</f>
        <v>332285</v>
      </c>
      <c r="D28" s="32">
        <f t="shared" si="7"/>
        <v>0</v>
      </c>
      <c r="E28" s="32">
        <f t="shared" si="7"/>
        <v>478452</v>
      </c>
      <c r="F28" s="31" t="s">
        <v>130</v>
      </c>
    </row>
    <row r="29" spans="1:6" x14ac:dyDescent="0.2">
      <c r="A29" s="70"/>
      <c r="B29" s="71"/>
      <c r="C29" s="71"/>
      <c r="D29" s="71"/>
      <c r="E29" s="71"/>
      <c r="F29" s="31"/>
    </row>
    <row r="30" spans="1:6" x14ac:dyDescent="0.2">
      <c r="A30" s="30" t="s">
        <v>268</v>
      </c>
      <c r="B30" s="9">
        <f>+'income &amp; expenses'!F16</f>
        <v>1436314</v>
      </c>
      <c r="C30" s="76">
        <f>+'income &amp; expenses'!F5+'income &amp; expenses'!F6+'income &amp; expenses'!F8</f>
        <v>171306</v>
      </c>
      <c r="D30" s="76"/>
      <c r="E30" s="9">
        <f>SUM(B30:D30)</f>
        <v>1607620</v>
      </c>
      <c r="F30" s="31" t="s">
        <v>270</v>
      </c>
    </row>
    <row r="31" spans="1:6" x14ac:dyDescent="0.2">
      <c r="A31" s="30" t="s">
        <v>269</v>
      </c>
      <c r="B31" s="9">
        <f>-'income &amp; expenses'!F62</f>
        <v>-1544404</v>
      </c>
      <c r="C31" s="76">
        <v>-161335</v>
      </c>
      <c r="D31" s="76">
        <f>-D46</f>
        <v>0</v>
      </c>
      <c r="E31" s="9">
        <f>SUM(B31:D31)</f>
        <v>-1705739</v>
      </c>
      <c r="F31" s="125" t="s">
        <v>279</v>
      </c>
    </row>
    <row r="32" spans="1:6" x14ac:dyDescent="0.2">
      <c r="B32" s="9"/>
      <c r="C32" s="9"/>
      <c r="D32" s="9"/>
      <c r="E32" s="9"/>
      <c r="F32" s="9"/>
    </row>
    <row r="33" spans="1:6" x14ac:dyDescent="0.2">
      <c r="A33" s="33"/>
      <c r="B33" s="32">
        <f>SUM(B28:B32)</f>
        <v>38077</v>
      </c>
      <c r="C33" s="32">
        <f t="shared" ref="C33:E33" si="8">SUM(C28:C32)</f>
        <v>342256</v>
      </c>
      <c r="D33" s="32">
        <f t="shared" si="8"/>
        <v>0</v>
      </c>
      <c r="E33" s="32">
        <f t="shared" si="8"/>
        <v>380333</v>
      </c>
      <c r="F33" s="126" t="s">
        <v>293</v>
      </c>
    </row>
    <row r="34" spans="1:6" ht="15" x14ac:dyDescent="0.2">
      <c r="C34" s="72"/>
      <c r="D34" s="72"/>
      <c r="E34" s="78"/>
      <c r="F34" s="80"/>
    </row>
    <row r="35" spans="1:6" x14ac:dyDescent="0.2">
      <c r="C35" s="72"/>
      <c r="D35" s="72"/>
      <c r="E35" s="78"/>
      <c r="F35" s="79"/>
    </row>
    <row r="36" spans="1:6" x14ac:dyDescent="0.2">
      <c r="C36" s="72"/>
      <c r="D36" s="72"/>
      <c r="E36" s="78"/>
      <c r="F36" s="79"/>
    </row>
    <row r="37" spans="1:6" x14ac:dyDescent="0.2">
      <c r="B37" s="39"/>
      <c r="C37" s="72"/>
      <c r="D37" s="72"/>
      <c r="E37" s="78"/>
      <c r="F37" s="79"/>
    </row>
    <row r="38" spans="1:6" x14ac:dyDescent="0.2">
      <c r="C38" s="72"/>
      <c r="D38" s="72"/>
      <c r="E38" s="78"/>
      <c r="F38" s="79"/>
    </row>
    <row r="39" spans="1:6" x14ac:dyDescent="0.2">
      <c r="C39" s="72"/>
      <c r="D39" s="72"/>
      <c r="E39" s="78"/>
      <c r="F39" s="79"/>
    </row>
    <row r="40" spans="1:6" x14ac:dyDescent="0.2">
      <c r="C40" s="72"/>
      <c r="D40" s="72"/>
      <c r="E40" s="78"/>
      <c r="F40" s="79"/>
    </row>
    <row r="41" spans="1:6" x14ac:dyDescent="0.2">
      <c r="C41" s="72"/>
      <c r="D41" s="72"/>
      <c r="E41" s="78"/>
      <c r="F41" s="79"/>
    </row>
    <row r="42" spans="1:6" x14ac:dyDescent="0.2">
      <c r="C42" s="72"/>
      <c r="D42" s="72"/>
      <c r="E42" s="78"/>
      <c r="F42" s="78"/>
    </row>
    <row r="43" spans="1:6" x14ac:dyDescent="0.2">
      <c r="C43" s="72"/>
      <c r="D43" s="72"/>
      <c r="E43" s="78"/>
      <c r="F43" s="78"/>
    </row>
    <row r="44" spans="1:6" x14ac:dyDescent="0.2">
      <c r="C44" s="72"/>
      <c r="D44" s="72"/>
      <c r="E44" s="78"/>
      <c r="F44" s="78"/>
    </row>
    <row r="45" spans="1:6" x14ac:dyDescent="0.2">
      <c r="A45" s="30"/>
      <c r="C45" s="9"/>
      <c r="D45" s="9"/>
    </row>
    <row r="46" spans="1:6" x14ac:dyDescent="0.2">
      <c r="C46" s="9"/>
      <c r="D46" s="9"/>
    </row>
  </sheetData>
  <sheetProtection algorithmName="SHA-512" hashValue="yi1lS+KhUfEWS1lX9+VDj78WdZc+mJMJ65hMcUUmhEe6jK39F47yHav0bgLkI+lR987P33R34adrstuuopY+LQ==" saltValue="whBTstLkDGNkKkoELEuH0A==" spinCount="100000" sheet="1" objects="1" scenarios="1"/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3"/>
  <sheetViews>
    <sheetView topLeftCell="A24" zoomScaleNormal="100" workbookViewId="0">
      <selection activeCell="C46" sqref="C46"/>
    </sheetView>
  </sheetViews>
  <sheetFormatPr defaultRowHeight="12.75" x14ac:dyDescent="0.2"/>
  <cols>
    <col min="1" max="1" width="28.5703125" customWidth="1"/>
    <col min="2" max="2" width="11.7109375" customWidth="1"/>
    <col min="3" max="3" width="11.5703125" customWidth="1"/>
    <col min="4" max="4" width="9.85546875" customWidth="1"/>
    <col min="5" max="5" width="11" customWidth="1"/>
    <col min="6" max="6" width="11.85546875" customWidth="1"/>
    <col min="7" max="7" width="11.28515625" customWidth="1"/>
    <col min="8" max="9" width="11.85546875" customWidth="1"/>
    <col min="10" max="10" width="12.28515625" style="37" customWidth="1"/>
    <col min="11" max="11" width="9.5703125" customWidth="1"/>
    <col min="12" max="12" width="11.140625" style="36" customWidth="1"/>
    <col min="13" max="13" width="10.85546875" customWidth="1"/>
    <col min="14" max="14" width="11.28515625" customWidth="1"/>
    <col min="15" max="15" width="10.7109375" customWidth="1"/>
    <col min="16" max="16" width="10.5703125" customWidth="1"/>
    <col min="17" max="17" width="10.7109375" customWidth="1"/>
    <col min="18" max="18" width="11.28515625" bestFit="1" customWidth="1"/>
  </cols>
  <sheetData>
    <row r="1" spans="1:18" x14ac:dyDescent="0.2">
      <c r="A1" s="1" t="s">
        <v>157</v>
      </c>
      <c r="E1" s="1" t="s">
        <v>156</v>
      </c>
      <c r="F1" s="1"/>
      <c r="G1" s="1"/>
    </row>
    <row r="3" spans="1:18" x14ac:dyDescent="0.2">
      <c r="B3" s="2">
        <v>1995</v>
      </c>
      <c r="C3" s="2"/>
      <c r="D3" s="2"/>
      <c r="E3" s="2"/>
      <c r="F3" s="2"/>
      <c r="G3" s="2"/>
      <c r="H3" s="2"/>
    </row>
    <row r="4" spans="1:18" x14ac:dyDescent="0.2">
      <c r="B4" s="2" t="s">
        <v>155</v>
      </c>
      <c r="C4" s="2">
        <v>1998</v>
      </c>
      <c r="D4" s="2">
        <v>1999</v>
      </c>
      <c r="E4" s="2">
        <v>2000</v>
      </c>
      <c r="F4" s="2">
        <v>2001</v>
      </c>
      <c r="G4" s="2">
        <v>2002</v>
      </c>
      <c r="H4" s="2">
        <v>2003</v>
      </c>
      <c r="I4" s="2">
        <v>2004</v>
      </c>
      <c r="J4" s="51">
        <v>2005</v>
      </c>
      <c r="K4" s="51">
        <v>2006</v>
      </c>
      <c r="L4" s="51">
        <v>2007</v>
      </c>
      <c r="M4" s="51">
        <v>2008</v>
      </c>
      <c r="N4" s="51">
        <v>2009</v>
      </c>
      <c r="O4" s="51">
        <v>2010</v>
      </c>
      <c r="P4" s="51">
        <v>2011</v>
      </c>
      <c r="Q4" s="51">
        <v>2012</v>
      </c>
      <c r="R4" s="51">
        <v>2013</v>
      </c>
    </row>
    <row r="6" spans="1:18" x14ac:dyDescent="0.2">
      <c r="A6" t="s">
        <v>154</v>
      </c>
      <c r="B6" s="36">
        <v>632218</v>
      </c>
      <c r="C6" s="36">
        <v>687600</v>
      </c>
      <c r="D6" s="36">
        <v>730787</v>
      </c>
      <c r="E6" s="36">
        <v>737532</v>
      </c>
      <c r="F6" s="36">
        <v>797779</v>
      </c>
      <c r="G6" s="36">
        <v>823941</v>
      </c>
      <c r="H6" s="36">
        <v>794520</v>
      </c>
      <c r="I6" s="36">
        <v>801892.45</v>
      </c>
      <c r="J6" s="36">
        <v>831457</v>
      </c>
      <c r="K6" s="36">
        <v>841240</v>
      </c>
      <c r="L6" s="36">
        <v>897230</v>
      </c>
      <c r="M6" s="36">
        <v>903190</v>
      </c>
      <c r="N6" s="36">
        <v>959550</v>
      </c>
      <c r="O6" s="36">
        <v>972850</v>
      </c>
      <c r="P6" s="36">
        <v>978374</v>
      </c>
      <c r="Q6" s="36">
        <v>966100</v>
      </c>
      <c r="R6" s="36">
        <v>946441</v>
      </c>
    </row>
    <row r="7" spans="1:18" x14ac:dyDescent="0.2">
      <c r="A7" t="s">
        <v>153</v>
      </c>
      <c r="B7" s="36"/>
      <c r="C7" s="36"/>
      <c r="D7" s="36"/>
      <c r="E7" s="36"/>
      <c r="F7" s="36"/>
      <c r="G7" s="36"/>
      <c r="H7" s="36"/>
    </row>
    <row r="8" spans="1:18" x14ac:dyDescent="0.2">
      <c r="A8" t="s">
        <v>152</v>
      </c>
      <c r="B8" s="36">
        <v>6000</v>
      </c>
      <c r="C8" s="36">
        <v>12000</v>
      </c>
      <c r="D8" s="36">
        <v>12000</v>
      </c>
      <c r="E8" s="36">
        <v>11301</v>
      </c>
      <c r="F8" s="36">
        <v>11000</v>
      </c>
      <c r="G8" s="36">
        <v>20600</v>
      </c>
      <c r="H8" s="36">
        <v>10300</v>
      </c>
      <c r="I8" s="36">
        <v>12276</v>
      </c>
      <c r="J8" s="36">
        <v>12000</v>
      </c>
      <c r="K8" s="36">
        <v>12000</v>
      </c>
      <c r="L8" s="36">
        <v>12600</v>
      </c>
      <c r="M8" s="36">
        <v>15120</v>
      </c>
      <c r="N8" s="36">
        <v>15120</v>
      </c>
      <c r="O8" s="36">
        <v>16500</v>
      </c>
      <c r="P8" s="36">
        <v>16000</v>
      </c>
      <c r="Q8" s="36">
        <v>20000</v>
      </c>
      <c r="R8" s="36">
        <v>19500</v>
      </c>
    </row>
    <row r="9" spans="1:18" x14ac:dyDescent="0.2">
      <c r="A9" t="s">
        <v>151</v>
      </c>
      <c r="B9" s="36">
        <v>0</v>
      </c>
      <c r="C9" s="36">
        <v>0</v>
      </c>
      <c r="D9" s="36">
        <v>5000</v>
      </c>
      <c r="E9" s="36">
        <v>3007</v>
      </c>
      <c r="F9" s="36">
        <v>3000</v>
      </c>
      <c r="G9" s="36">
        <v>3000</v>
      </c>
      <c r="H9" s="36">
        <v>3000</v>
      </c>
      <c r="I9" s="36">
        <v>3000</v>
      </c>
      <c r="J9" s="36">
        <v>3000</v>
      </c>
      <c r="K9" s="36">
        <v>2000</v>
      </c>
      <c r="L9" s="36">
        <v>2000</v>
      </c>
      <c r="M9" s="36">
        <v>1000</v>
      </c>
      <c r="N9" s="36">
        <v>2000</v>
      </c>
      <c r="O9" s="36">
        <v>2000</v>
      </c>
      <c r="P9" s="36">
        <v>2000</v>
      </c>
      <c r="Q9" s="36">
        <v>2000</v>
      </c>
      <c r="R9" s="36">
        <v>2000</v>
      </c>
    </row>
    <row r="10" spans="1:18" x14ac:dyDescent="0.2">
      <c r="A10" t="s">
        <v>150</v>
      </c>
      <c r="B10" s="36">
        <v>22818</v>
      </c>
      <c r="C10" s="36">
        <v>14500</v>
      </c>
      <c r="D10" s="36">
        <v>14500</v>
      </c>
      <c r="E10" s="36">
        <v>4413</v>
      </c>
      <c r="F10" s="36">
        <v>5000</v>
      </c>
      <c r="G10" s="36">
        <v>5000</v>
      </c>
      <c r="H10" s="36">
        <v>5000</v>
      </c>
      <c r="I10" s="36">
        <v>5000</v>
      </c>
      <c r="J10" s="36">
        <v>1000</v>
      </c>
      <c r="K10" s="36">
        <v>3000</v>
      </c>
      <c r="L10" s="36">
        <v>3000</v>
      </c>
      <c r="M10" s="36">
        <v>2000</v>
      </c>
      <c r="N10" s="36">
        <v>2000</v>
      </c>
      <c r="O10" s="36">
        <v>2000</v>
      </c>
      <c r="P10" s="36">
        <v>1000</v>
      </c>
      <c r="Q10" s="36">
        <v>1000</v>
      </c>
      <c r="R10" s="36">
        <v>1000</v>
      </c>
    </row>
    <row r="11" spans="1:18" x14ac:dyDescent="0.2">
      <c r="A11" t="s">
        <v>149</v>
      </c>
      <c r="B11" s="36">
        <v>0</v>
      </c>
      <c r="C11" s="36">
        <v>0</v>
      </c>
      <c r="D11" s="36">
        <v>0</v>
      </c>
      <c r="E11" s="36">
        <v>1822</v>
      </c>
      <c r="F11" s="36">
        <v>5000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</row>
    <row r="12" spans="1:18" x14ac:dyDescent="0.2">
      <c r="A12" t="s">
        <v>148</v>
      </c>
      <c r="B12" s="36">
        <v>21109</v>
      </c>
      <c r="C12" s="36">
        <v>27000</v>
      </c>
      <c r="D12" s="36">
        <v>27687</v>
      </c>
      <c r="E12" s="36">
        <v>27335</v>
      </c>
      <c r="F12" s="36">
        <v>20259</v>
      </c>
      <c r="G12" s="36">
        <v>15000</v>
      </c>
      <c r="H12" s="36">
        <v>17866.96</v>
      </c>
      <c r="I12" s="36">
        <v>17867</v>
      </c>
      <c r="J12" s="36">
        <v>18760</v>
      </c>
      <c r="K12" s="36">
        <v>19698</v>
      </c>
      <c r="L12" s="36">
        <v>20683</v>
      </c>
      <c r="M12" s="36">
        <v>21303.5</v>
      </c>
      <c r="N12" s="36">
        <v>23220</v>
      </c>
      <c r="O12" s="36">
        <v>23220</v>
      </c>
      <c r="P12" s="36">
        <v>25588</v>
      </c>
      <c r="Q12" s="36">
        <v>25588</v>
      </c>
      <c r="R12" s="36">
        <v>25588</v>
      </c>
    </row>
    <row r="13" spans="1:18" x14ac:dyDescent="0.2">
      <c r="B13" s="36"/>
      <c r="C13" s="36"/>
      <c r="D13" s="36"/>
      <c r="E13" s="36"/>
      <c r="F13" s="36"/>
      <c r="G13" s="36"/>
      <c r="H13" s="36"/>
      <c r="J13" s="36"/>
    </row>
    <row r="14" spans="1:18" x14ac:dyDescent="0.2">
      <c r="A14" t="s">
        <v>147</v>
      </c>
      <c r="B14" s="36">
        <f t="shared" ref="B14:R14" si="0">SUM(B8:B13)</f>
        <v>49927</v>
      </c>
      <c r="C14" s="36">
        <f t="shared" si="0"/>
        <v>53500</v>
      </c>
      <c r="D14" s="36">
        <f t="shared" si="0"/>
        <v>59187</v>
      </c>
      <c r="E14" s="36">
        <f t="shared" si="0"/>
        <v>47878</v>
      </c>
      <c r="F14" s="36">
        <f t="shared" si="0"/>
        <v>44259</v>
      </c>
      <c r="G14" s="36">
        <f t="shared" si="0"/>
        <v>43600</v>
      </c>
      <c r="H14" s="36">
        <f t="shared" si="0"/>
        <v>36166.959999999999</v>
      </c>
      <c r="I14" s="36">
        <f t="shared" si="0"/>
        <v>38143</v>
      </c>
      <c r="J14" s="36">
        <f t="shared" si="0"/>
        <v>34760</v>
      </c>
      <c r="K14" s="36">
        <f t="shared" si="0"/>
        <v>36698</v>
      </c>
      <c r="L14" s="36">
        <f t="shared" si="0"/>
        <v>38283</v>
      </c>
      <c r="M14" s="39">
        <f t="shared" si="0"/>
        <v>39423.5</v>
      </c>
      <c r="N14" s="39">
        <f t="shared" si="0"/>
        <v>42340</v>
      </c>
      <c r="O14" s="39">
        <f t="shared" si="0"/>
        <v>43720</v>
      </c>
      <c r="P14" s="39">
        <f t="shared" si="0"/>
        <v>44588</v>
      </c>
      <c r="Q14" s="39">
        <f t="shared" si="0"/>
        <v>48588</v>
      </c>
      <c r="R14" s="39">
        <f t="shared" si="0"/>
        <v>48088</v>
      </c>
    </row>
    <row r="15" spans="1:18" x14ac:dyDescent="0.2">
      <c r="B15" s="36"/>
      <c r="C15" s="36"/>
      <c r="D15" s="36"/>
      <c r="E15" s="36"/>
      <c r="F15" s="36"/>
      <c r="G15" s="36"/>
      <c r="H15" s="36"/>
      <c r="J15" s="36"/>
    </row>
    <row r="16" spans="1:18" x14ac:dyDescent="0.2">
      <c r="A16" t="s">
        <v>146</v>
      </c>
      <c r="B16" s="40">
        <f t="shared" ref="B16:N16" si="1">SUM(B6-B14)</f>
        <v>582291</v>
      </c>
      <c r="C16" s="36">
        <f t="shared" si="1"/>
        <v>634100</v>
      </c>
      <c r="D16" s="36">
        <f t="shared" si="1"/>
        <v>671600</v>
      </c>
      <c r="E16" s="36">
        <f t="shared" si="1"/>
        <v>689654</v>
      </c>
      <c r="F16" s="36">
        <f t="shared" si="1"/>
        <v>753520</v>
      </c>
      <c r="G16" s="36">
        <f t="shared" si="1"/>
        <v>780341</v>
      </c>
      <c r="H16" s="47">
        <f t="shared" si="1"/>
        <v>758353.04</v>
      </c>
      <c r="I16" s="47">
        <f t="shared" si="1"/>
        <v>763749.45</v>
      </c>
      <c r="J16" s="47">
        <f t="shared" si="1"/>
        <v>796697</v>
      </c>
      <c r="K16" s="47">
        <f t="shared" si="1"/>
        <v>804542</v>
      </c>
      <c r="L16" s="47">
        <f t="shared" si="1"/>
        <v>858947</v>
      </c>
      <c r="M16" s="47">
        <f t="shared" si="1"/>
        <v>863766.5</v>
      </c>
      <c r="N16" s="47">
        <f t="shared" si="1"/>
        <v>917210</v>
      </c>
      <c r="O16" s="39">
        <f>O6-O14</f>
        <v>929130</v>
      </c>
      <c r="P16" s="39">
        <f>P6-P14</f>
        <v>933786</v>
      </c>
      <c r="Q16" s="39">
        <f>Q6-Q14</f>
        <v>917512</v>
      </c>
      <c r="R16" s="39">
        <f>R6-R14</f>
        <v>898353</v>
      </c>
    </row>
    <row r="17" spans="1:18" x14ac:dyDescent="0.2">
      <c r="J17" s="47"/>
    </row>
    <row r="18" spans="1:18" x14ac:dyDescent="0.2">
      <c r="J18" s="47"/>
    </row>
    <row r="19" spans="1:18" x14ac:dyDescent="0.2">
      <c r="A19" t="s">
        <v>145</v>
      </c>
      <c r="C19" s="39">
        <f>SUM(C16-B16)</f>
        <v>51809</v>
      </c>
      <c r="D19" s="39">
        <f>SUM(D16-B16)</f>
        <v>89309</v>
      </c>
      <c r="E19" s="39">
        <f>SUM(E16-B16)</f>
        <v>107363</v>
      </c>
      <c r="F19" s="39">
        <f>SUM(F16-B16)</f>
        <v>171229</v>
      </c>
      <c r="G19" s="39">
        <f>SUM(G16-B16)</f>
        <v>198050</v>
      </c>
      <c r="H19" s="39">
        <f>SUM(H16-B16)</f>
        <v>176062.04000000004</v>
      </c>
      <c r="I19" s="39">
        <f>SUM(I16-B16)</f>
        <v>181458.44999999995</v>
      </c>
      <c r="J19" s="46">
        <f>SUM(J16-B16)</f>
        <v>214406</v>
      </c>
      <c r="K19" s="46">
        <f>SUM(K16-B16)</f>
        <v>222251</v>
      </c>
      <c r="L19" s="47">
        <f>SUM(L16-B16)</f>
        <v>276656</v>
      </c>
      <c r="M19" s="46">
        <f>SUM(M16-B16)</f>
        <v>281475.5</v>
      </c>
      <c r="N19" s="46">
        <f>SUM(N16-C16)</f>
        <v>283110</v>
      </c>
      <c r="O19" s="39">
        <f>O16-B16</f>
        <v>346839</v>
      </c>
      <c r="P19" s="39">
        <f>P16-B16</f>
        <v>351495</v>
      </c>
      <c r="Q19" s="39">
        <f>Q16-B16</f>
        <v>335221</v>
      </c>
      <c r="R19" s="39">
        <f>R16-B16</f>
        <v>316062</v>
      </c>
    </row>
    <row r="20" spans="1:18" x14ac:dyDescent="0.2">
      <c r="A20" t="s">
        <v>144</v>
      </c>
      <c r="C20" s="50">
        <f t="shared" ref="C20:O20" si="2">SUM(C19/582291)</f>
        <v>8.8974413137074077E-2</v>
      </c>
      <c r="D20" s="50">
        <f t="shared" si="2"/>
        <v>0.1533752024331477</v>
      </c>
      <c r="E20" s="50">
        <f t="shared" si="2"/>
        <v>0.18438031843184938</v>
      </c>
      <c r="F20" s="50">
        <f t="shared" si="2"/>
        <v>0.29406087334339703</v>
      </c>
      <c r="G20" s="50">
        <f t="shared" si="2"/>
        <v>0.34012203520233009</v>
      </c>
      <c r="H20" s="48">
        <f t="shared" si="2"/>
        <v>0.30236091576205032</v>
      </c>
      <c r="I20" s="48">
        <f t="shared" si="2"/>
        <v>0.31162846411845618</v>
      </c>
      <c r="J20" s="48">
        <f t="shared" si="2"/>
        <v>0.36821108346170556</v>
      </c>
      <c r="K20" s="48">
        <f t="shared" si="2"/>
        <v>0.38168372858244415</v>
      </c>
      <c r="L20" s="49">
        <f t="shared" si="2"/>
        <v>0.47511639369318776</v>
      </c>
      <c r="M20" s="48">
        <f t="shared" si="2"/>
        <v>0.48339318313351914</v>
      </c>
      <c r="N20" s="48">
        <f t="shared" si="2"/>
        <v>0.48620019886963733</v>
      </c>
      <c r="O20" s="48">
        <f t="shared" si="2"/>
        <v>0.59564547623095665</v>
      </c>
      <c r="P20" s="48">
        <f>P19/B16</f>
        <v>0.60364147822995717</v>
      </c>
      <c r="Q20" s="48">
        <f>Q19/B16</f>
        <v>0.57569325302984242</v>
      </c>
      <c r="R20" s="38">
        <f>R19/B16</f>
        <v>0.5427904604398831</v>
      </c>
    </row>
    <row r="21" spans="1:18" x14ac:dyDescent="0.2">
      <c r="J21" s="47"/>
    </row>
    <row r="22" spans="1:18" x14ac:dyDescent="0.2">
      <c r="J22" s="47"/>
    </row>
    <row r="23" spans="1:18" x14ac:dyDescent="0.2">
      <c r="A23" t="s">
        <v>143</v>
      </c>
      <c r="B23" s="36">
        <v>40000</v>
      </c>
      <c r="C23" s="36">
        <f>SUM(B23*C20)+B23</f>
        <v>43558.976525482962</v>
      </c>
      <c r="D23" s="36">
        <f>SUM(B23*D20)+B23</f>
        <v>46135.00809732591</v>
      </c>
      <c r="E23" s="36">
        <f>SUM(B23*E20)+B23</f>
        <v>47375.212737273978</v>
      </c>
      <c r="F23" s="36">
        <f>SUM(B23*F20)+B23</f>
        <v>51762.43493373588</v>
      </c>
      <c r="G23" s="36">
        <f>SUM(B23*G20)+B23</f>
        <v>53604.881408093206</v>
      </c>
      <c r="H23" s="47">
        <f>SUM(B23*H20)+B23</f>
        <v>52094.436630482014</v>
      </c>
      <c r="I23" s="47">
        <f>SUM(B23*I20)+B23</f>
        <v>52465.138564738249</v>
      </c>
      <c r="J23" s="47">
        <f>SUM(B23*J20)+B23</f>
        <v>54728.44333846822</v>
      </c>
      <c r="K23" s="47">
        <f>SUM(B23*K20)+B23</f>
        <v>55267.349143297768</v>
      </c>
      <c r="L23" s="47">
        <f>SUM(B23*L20)+B23</f>
        <v>59004.655747727506</v>
      </c>
      <c r="M23" s="47">
        <f>SUM(B23*M20)+B23</f>
        <v>59335.727325340762</v>
      </c>
      <c r="N23" s="47">
        <f>SUM($B$23*N20)+B23</f>
        <v>59448.007954785498</v>
      </c>
      <c r="O23" s="47">
        <f>SUM(B23*O20)+B23</f>
        <v>63825.819049238271</v>
      </c>
      <c r="P23" s="47">
        <f>SUM(B23*P20)+B23</f>
        <v>64145.659129198291</v>
      </c>
      <c r="Q23" s="46">
        <f>B23*Q20+B23</f>
        <v>63027.730121193701</v>
      </c>
      <c r="R23" s="39">
        <f>B23*R20+B23</f>
        <v>61711.618417595324</v>
      </c>
    </row>
    <row r="25" spans="1:18" s="2" customFormat="1" x14ac:dyDescent="0.2">
      <c r="A25" s="2" t="s">
        <v>142</v>
      </c>
      <c r="C25" s="44">
        <f t="shared" ref="C25:R25" si="3">(C23-B23)/B23</f>
        <v>8.8974413137074049E-2</v>
      </c>
      <c r="D25" s="44">
        <f t="shared" si="3"/>
        <v>5.9138937076171037E-2</v>
      </c>
      <c r="E25" s="44">
        <f t="shared" si="3"/>
        <v>2.6882072662298997E-2</v>
      </c>
      <c r="F25" s="44">
        <f t="shared" si="3"/>
        <v>9.2605857429957528E-2</v>
      </c>
      <c r="G25" s="44">
        <f t="shared" si="3"/>
        <v>3.5594277524153367E-2</v>
      </c>
      <c r="H25" s="44">
        <f t="shared" si="3"/>
        <v>-2.8177373737891465E-2</v>
      </c>
      <c r="I25" s="44">
        <f t="shared" si="3"/>
        <v>7.1159601338183125E-3</v>
      </c>
      <c r="J25" s="44">
        <f t="shared" si="3"/>
        <v>4.3139212735275906E-2</v>
      </c>
      <c r="K25" s="44">
        <f t="shared" si="3"/>
        <v>9.8469054107145661E-3</v>
      </c>
      <c r="L25" s="45">
        <f t="shared" si="3"/>
        <v>6.7622324254047531E-2</v>
      </c>
      <c r="M25" s="44">
        <f t="shared" si="3"/>
        <v>5.6109399066531689E-3</v>
      </c>
      <c r="N25" s="44">
        <f t="shared" si="3"/>
        <v>1.892293808569938E-3</v>
      </c>
      <c r="O25" s="44">
        <f t="shared" si="3"/>
        <v>7.3641005730291476E-2</v>
      </c>
      <c r="P25" s="44">
        <f t="shared" si="3"/>
        <v>5.0111394530367179E-3</v>
      </c>
      <c r="Q25" s="44">
        <f t="shared" si="3"/>
        <v>-1.7427976003067107E-2</v>
      </c>
      <c r="R25" s="44">
        <f t="shared" si="3"/>
        <v>-2.0881470760055525E-2</v>
      </c>
    </row>
    <row r="26" spans="1:18" s="2" customFormat="1" x14ac:dyDescent="0.2">
      <c r="C26" s="44"/>
      <c r="D26" s="44"/>
      <c r="E26" s="44"/>
      <c r="F26" s="44"/>
      <c r="G26" s="44"/>
      <c r="H26" s="44"/>
      <c r="I26" s="44"/>
      <c r="J26" s="44"/>
      <c r="K26" s="44"/>
      <c r="L26" s="45"/>
      <c r="M26" s="44"/>
      <c r="N26" s="44"/>
      <c r="O26" s="44"/>
      <c r="P26" s="44"/>
      <c r="Q26" s="44"/>
      <c r="R26" s="44"/>
    </row>
    <row r="27" spans="1:18" s="2" customFormat="1" x14ac:dyDescent="0.2">
      <c r="C27" s="44"/>
      <c r="D27" s="44"/>
      <c r="E27" s="44"/>
      <c r="F27" s="44"/>
      <c r="G27" s="44"/>
      <c r="H27" s="44"/>
      <c r="I27" s="44"/>
      <c r="J27" s="44"/>
      <c r="K27" s="44"/>
      <c r="L27" s="45"/>
      <c r="M27" s="44"/>
      <c r="N27" s="44"/>
      <c r="O27" s="44"/>
      <c r="P27" s="44"/>
      <c r="Q27" s="44"/>
      <c r="R27" s="44"/>
    </row>
    <row r="28" spans="1:18" s="2" customFormat="1" x14ac:dyDescent="0.2">
      <c r="C28" s="44"/>
      <c r="D28" s="44"/>
      <c r="E28" s="44"/>
      <c r="F28" s="44"/>
      <c r="G28" s="44"/>
      <c r="H28" s="44"/>
      <c r="I28" s="44"/>
      <c r="J28" s="44"/>
      <c r="K28" s="44"/>
      <c r="L28" s="45"/>
      <c r="M28" s="44"/>
      <c r="N28" s="44"/>
      <c r="O28" s="44"/>
      <c r="P28" s="44"/>
      <c r="Q28" s="44"/>
      <c r="R28" s="44"/>
    </row>
    <row r="29" spans="1:18" s="2" customFormat="1" x14ac:dyDescent="0.2">
      <c r="C29" s="44"/>
      <c r="D29" s="44"/>
      <c r="E29" s="44"/>
      <c r="F29" s="44"/>
      <c r="G29" s="44"/>
      <c r="H29" s="44"/>
      <c r="I29" s="44"/>
      <c r="J29" s="44"/>
      <c r="K29" s="44"/>
      <c r="L29" s="45"/>
      <c r="M29" s="44"/>
      <c r="N29" s="44"/>
      <c r="O29" s="44"/>
      <c r="P29" s="44"/>
      <c r="Q29" s="44"/>
      <c r="R29" s="44"/>
    </row>
    <row r="30" spans="1:18" s="2" customFormat="1" x14ac:dyDescent="0.2">
      <c r="B30" s="2">
        <v>1995</v>
      </c>
      <c r="C30" s="44"/>
      <c r="D30" s="44"/>
      <c r="E30" s="44"/>
      <c r="F30" s="44"/>
      <c r="G30" s="44"/>
      <c r="H30" s="44"/>
      <c r="I30" s="44"/>
      <c r="J30" s="44"/>
      <c r="K30" s="44"/>
      <c r="L30" s="45"/>
      <c r="M30" s="44"/>
      <c r="N30" s="44"/>
      <c r="O30" s="44"/>
      <c r="P30" s="44"/>
      <c r="Q30" s="44"/>
      <c r="R30" s="44"/>
    </row>
    <row r="31" spans="1:18" x14ac:dyDescent="0.2">
      <c r="B31" s="2" t="s">
        <v>155</v>
      </c>
      <c r="C31" s="43">
        <v>2014</v>
      </c>
      <c r="D31" s="1">
        <v>2015</v>
      </c>
      <c r="E31" s="43">
        <v>2016</v>
      </c>
      <c r="F31" s="43">
        <v>2017</v>
      </c>
      <c r="G31" s="43">
        <v>2018</v>
      </c>
      <c r="H31" s="43">
        <v>2019</v>
      </c>
      <c r="I31" s="43">
        <v>2020</v>
      </c>
      <c r="J31" s="43">
        <v>2021</v>
      </c>
      <c r="K31" s="41"/>
      <c r="L31" s="42"/>
      <c r="M31" s="41"/>
      <c r="N31" s="41"/>
      <c r="O31" s="41"/>
      <c r="P31" s="1"/>
      <c r="Q31" s="1"/>
      <c r="R31" s="1"/>
    </row>
    <row r="32" spans="1:18" x14ac:dyDescent="0.2">
      <c r="B32" s="2"/>
      <c r="C32" s="43"/>
      <c r="E32" s="43"/>
      <c r="F32" s="43"/>
      <c r="G32" s="43"/>
      <c r="H32" s="43"/>
      <c r="I32" s="43"/>
      <c r="J32" s="43"/>
      <c r="K32" s="41"/>
      <c r="L32" s="42"/>
      <c r="M32" s="41"/>
      <c r="N32" s="41"/>
      <c r="O32" s="41"/>
      <c r="P32" s="1"/>
      <c r="Q32" s="1"/>
      <c r="R32" s="1"/>
    </row>
    <row r="33" spans="1:18" x14ac:dyDescent="0.2">
      <c r="A33" t="s">
        <v>154</v>
      </c>
      <c r="B33" s="36">
        <v>632218</v>
      </c>
      <c r="C33" s="36">
        <v>943503</v>
      </c>
      <c r="D33" s="68">
        <v>948886</v>
      </c>
      <c r="E33" s="36">
        <f>+'income &amp; expenses'!L60</f>
        <v>1113379</v>
      </c>
      <c r="F33" s="36">
        <f>+'income &amp; expenses'!M60</f>
        <v>1230951</v>
      </c>
      <c r="G33" s="36">
        <f>+'income &amp; expenses'!O60</f>
        <v>1264849.53</v>
      </c>
      <c r="H33" s="36">
        <f>+'income &amp; expenses'!P60</f>
        <v>1302876.0159000002</v>
      </c>
      <c r="I33" s="36">
        <f>+'income &amp; expenses'!Q60</f>
        <v>1342065.346377</v>
      </c>
      <c r="J33" s="36">
        <f>+'income &amp; expenses'!R60</f>
        <v>1382453.5092683104</v>
      </c>
    </row>
    <row r="34" spans="1:18" x14ac:dyDescent="0.2">
      <c r="A34" t="s">
        <v>153</v>
      </c>
      <c r="B34" s="36"/>
      <c r="C34" s="36"/>
      <c r="E34" s="36"/>
      <c r="F34" s="36"/>
      <c r="G34" s="36"/>
      <c r="H34" s="36"/>
      <c r="I34" s="36"/>
      <c r="J34" s="36"/>
      <c r="K34" s="37"/>
      <c r="L34" s="37"/>
      <c r="M34" s="37"/>
      <c r="N34" s="37"/>
      <c r="O34" s="37"/>
      <c r="P34" s="37"/>
      <c r="Q34" s="37"/>
      <c r="R34" s="37"/>
    </row>
    <row r="35" spans="1:18" x14ac:dyDescent="0.2">
      <c r="A35" t="s">
        <v>152</v>
      </c>
      <c r="B35" s="36">
        <v>6000</v>
      </c>
      <c r="C35" s="36">
        <v>19500</v>
      </c>
      <c r="D35" s="68">
        <v>19500</v>
      </c>
      <c r="E35" s="36">
        <f>+'income &amp; expenses'!L40</f>
        <v>20475</v>
      </c>
      <c r="F35" s="36">
        <f>+'income &amp; expenses'!M40</f>
        <v>21000</v>
      </c>
      <c r="G35" s="36">
        <f>+'income &amp; expenses'!O40</f>
        <v>22050</v>
      </c>
      <c r="H35" s="36">
        <f>+'income &amp; expenses'!P40</f>
        <v>23152.5</v>
      </c>
      <c r="I35" s="36">
        <f>+'income &amp; expenses'!Q40</f>
        <v>24310.125</v>
      </c>
      <c r="J35" s="36">
        <f>+'income &amp; expenses'!R40</f>
        <v>25525.631250000002</v>
      </c>
      <c r="K35" s="37"/>
      <c r="L35" s="37"/>
      <c r="M35" s="37"/>
      <c r="N35" s="37"/>
      <c r="O35" s="37"/>
      <c r="P35" s="37"/>
      <c r="Q35" s="37"/>
      <c r="R35" s="37"/>
    </row>
    <row r="36" spans="1:18" x14ac:dyDescent="0.2">
      <c r="A36" t="s">
        <v>151</v>
      </c>
      <c r="B36" s="36">
        <v>0</v>
      </c>
      <c r="C36" s="36">
        <v>1000</v>
      </c>
      <c r="D36" s="68">
        <v>1000</v>
      </c>
      <c r="E36" s="36">
        <f>+'income &amp; expenses'!L45</f>
        <v>1000</v>
      </c>
      <c r="F36" s="36">
        <f>+'income &amp; expenses'!M45</f>
        <v>1000</v>
      </c>
      <c r="G36" s="36">
        <f>+'income &amp; expenses'!O45</f>
        <v>1030</v>
      </c>
      <c r="H36" s="36">
        <f>+'income &amp; expenses'!P45</f>
        <v>1060.9000000000001</v>
      </c>
      <c r="I36" s="36">
        <f>+'income &amp; expenses'!Q45</f>
        <v>1092.7270000000001</v>
      </c>
      <c r="J36" s="36">
        <f>+'income &amp; expenses'!R45</f>
        <v>1125.50881</v>
      </c>
      <c r="K36" s="37"/>
      <c r="L36" s="37"/>
      <c r="M36" s="37"/>
      <c r="N36" s="37"/>
      <c r="O36" s="37"/>
      <c r="P36" s="37"/>
      <c r="Q36" s="37"/>
      <c r="R36" s="37"/>
    </row>
    <row r="37" spans="1:18" x14ac:dyDescent="0.2">
      <c r="A37" t="s">
        <v>150</v>
      </c>
      <c r="B37" s="36">
        <v>22818</v>
      </c>
      <c r="C37" s="36">
        <v>2000</v>
      </c>
      <c r="D37" s="68">
        <v>2000</v>
      </c>
      <c r="E37" s="36">
        <f>+'income &amp; expenses'!L41</f>
        <v>12000</v>
      </c>
      <c r="F37" s="36">
        <f>+'income &amp; expenses'!M41</f>
        <v>15000</v>
      </c>
      <c r="G37" s="36">
        <f>+'income &amp; expenses'!O41</f>
        <v>12000</v>
      </c>
      <c r="H37" s="36">
        <f>+'income &amp; expenses'!P41</f>
        <v>12000</v>
      </c>
      <c r="I37" s="36">
        <f>+'income &amp; expenses'!Q41</f>
        <v>12000</v>
      </c>
      <c r="J37" s="36">
        <f>+'income &amp; expenses'!R41</f>
        <v>12000</v>
      </c>
      <c r="K37" s="37"/>
      <c r="L37" s="37"/>
      <c r="M37" s="37"/>
      <c r="N37" s="37"/>
      <c r="O37" s="37"/>
      <c r="P37" s="37"/>
      <c r="Q37" s="37"/>
      <c r="R37" s="37"/>
    </row>
    <row r="38" spans="1:18" x14ac:dyDescent="0.2">
      <c r="A38" t="s">
        <v>149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7"/>
      <c r="L38" s="37"/>
      <c r="M38" s="37"/>
      <c r="N38" s="37"/>
      <c r="O38" s="37"/>
      <c r="P38" s="37"/>
      <c r="Q38" s="37"/>
      <c r="R38" s="37"/>
    </row>
    <row r="39" spans="1:18" x14ac:dyDescent="0.2">
      <c r="A39" t="s">
        <v>148</v>
      </c>
      <c r="B39" s="36">
        <v>21109</v>
      </c>
      <c r="C39" s="36">
        <v>25588</v>
      </c>
      <c r="D39" s="68">
        <v>29063</v>
      </c>
      <c r="E39" s="60">
        <f>28080*1.035</f>
        <v>29062.799999999999</v>
      </c>
      <c r="F39" s="60">
        <f>+E39</f>
        <v>29062.799999999999</v>
      </c>
      <c r="G39" s="60">
        <f>+F39*1.05</f>
        <v>30515.940000000002</v>
      </c>
      <c r="H39" s="60">
        <f>+G39*1.03</f>
        <v>31431.418200000004</v>
      </c>
      <c r="I39" s="60">
        <f>+H39*1.03</f>
        <v>32374.360746000006</v>
      </c>
      <c r="J39" s="60">
        <f>+I39*1.03</f>
        <v>33345.591568380005</v>
      </c>
      <c r="K39" s="37"/>
      <c r="L39" s="37"/>
      <c r="M39" s="37"/>
      <c r="N39" s="37"/>
      <c r="O39" s="37"/>
      <c r="P39" s="37"/>
      <c r="Q39" s="37"/>
      <c r="R39" s="37"/>
    </row>
    <row r="40" spans="1:18" x14ac:dyDescent="0.2">
      <c r="B40" s="36"/>
      <c r="C40" s="36"/>
      <c r="E40" s="36"/>
      <c r="F40" s="36"/>
      <c r="G40" s="36"/>
      <c r="H40" s="36"/>
      <c r="I40" s="36"/>
      <c r="J40" s="36"/>
      <c r="K40" s="37"/>
      <c r="L40" s="37"/>
      <c r="M40" s="37"/>
      <c r="N40" s="37"/>
      <c r="O40" s="37"/>
      <c r="P40" s="37"/>
      <c r="Q40" s="37"/>
      <c r="R40" s="37"/>
    </row>
    <row r="41" spans="1:18" x14ac:dyDescent="0.2">
      <c r="A41" t="s">
        <v>147</v>
      </c>
      <c r="B41" s="36">
        <f>SUM(B35:B40)</f>
        <v>49927</v>
      </c>
      <c r="C41" s="36">
        <f>SUM(C35:C40)</f>
        <v>48088</v>
      </c>
      <c r="D41" s="68">
        <v>51563</v>
      </c>
      <c r="E41" s="36">
        <f>SUM(E35:E40)</f>
        <v>62537.8</v>
      </c>
      <c r="F41" s="36">
        <f t="shared" ref="F41:J41" si="4">SUM(F35:F40)</f>
        <v>66062.8</v>
      </c>
      <c r="G41" s="36">
        <f t="shared" si="4"/>
        <v>65595.94</v>
      </c>
      <c r="H41" s="36">
        <f t="shared" si="4"/>
        <v>67644.818200000009</v>
      </c>
      <c r="I41" s="36">
        <f t="shared" si="4"/>
        <v>69777.212746000005</v>
      </c>
      <c r="J41" s="36">
        <f t="shared" si="4"/>
        <v>71996.731628380017</v>
      </c>
      <c r="K41" s="37"/>
      <c r="L41" s="37"/>
      <c r="M41" s="37"/>
      <c r="N41" s="37"/>
      <c r="O41" s="37"/>
      <c r="P41" s="37"/>
      <c r="Q41" s="37"/>
      <c r="R41" s="37"/>
    </row>
    <row r="42" spans="1:18" x14ac:dyDescent="0.2">
      <c r="B42" s="36"/>
      <c r="C42" s="36"/>
      <c r="E42" s="36"/>
      <c r="F42" s="36"/>
      <c r="G42" s="36"/>
      <c r="H42" s="36"/>
      <c r="I42" s="36"/>
      <c r="J42" s="36"/>
      <c r="K42" s="37"/>
      <c r="L42" s="37"/>
      <c r="M42" s="37"/>
      <c r="N42" s="37"/>
      <c r="O42" s="37"/>
      <c r="P42" s="37"/>
      <c r="Q42" s="37"/>
      <c r="R42" s="37"/>
    </row>
    <row r="43" spans="1:18" x14ac:dyDescent="0.2">
      <c r="A43" t="s">
        <v>146</v>
      </c>
      <c r="B43" s="40">
        <f>SUM(B33-B41)</f>
        <v>582291</v>
      </c>
      <c r="C43" s="40">
        <f>SUM(C33-C41)</f>
        <v>895415</v>
      </c>
      <c r="D43" s="69">
        <v>897323</v>
      </c>
      <c r="E43" s="40">
        <f>SUM(E33-E41)</f>
        <v>1050841.2</v>
      </c>
      <c r="F43" s="40">
        <f t="shared" ref="F43:J43" si="5">SUM(F33-F41)</f>
        <v>1164888.2</v>
      </c>
      <c r="G43" s="40">
        <f t="shared" si="5"/>
        <v>1199253.5900000001</v>
      </c>
      <c r="H43" s="40">
        <f t="shared" si="5"/>
        <v>1235231.1977000001</v>
      </c>
      <c r="I43" s="40">
        <f t="shared" si="5"/>
        <v>1272288.1336310001</v>
      </c>
      <c r="J43" s="40">
        <f t="shared" si="5"/>
        <v>1310456.7776399304</v>
      </c>
      <c r="K43" s="37"/>
      <c r="L43" s="37"/>
      <c r="M43" s="37"/>
      <c r="N43" s="37"/>
      <c r="O43" s="37"/>
      <c r="P43" s="37"/>
      <c r="Q43" s="37"/>
      <c r="R43" s="37"/>
    </row>
    <row r="44" spans="1:18" x14ac:dyDescent="0.2">
      <c r="J44"/>
    </row>
    <row r="45" spans="1:18" x14ac:dyDescent="0.2">
      <c r="J45"/>
    </row>
    <row r="46" spans="1:18" x14ac:dyDescent="0.2">
      <c r="A46" t="s">
        <v>145</v>
      </c>
      <c r="C46" s="39">
        <f>C43-$B43</f>
        <v>313124</v>
      </c>
      <c r="D46" s="39">
        <f t="shared" ref="D46:E46" si="6">D43-$B43</f>
        <v>315032</v>
      </c>
      <c r="E46" s="39">
        <f t="shared" si="6"/>
        <v>468550.19999999995</v>
      </c>
      <c r="F46" s="39">
        <f t="shared" ref="F46:J46" si="7">F43-$B43</f>
        <v>582597.19999999995</v>
      </c>
      <c r="G46" s="39">
        <f t="shared" si="7"/>
        <v>616962.59000000008</v>
      </c>
      <c r="H46" s="39">
        <f t="shared" si="7"/>
        <v>652940.19770000014</v>
      </c>
      <c r="I46" s="39">
        <f t="shared" si="7"/>
        <v>689997.13363100006</v>
      </c>
      <c r="J46" s="39">
        <f t="shared" si="7"/>
        <v>728165.77763993037</v>
      </c>
    </row>
    <row r="47" spans="1:18" x14ac:dyDescent="0.2">
      <c r="A47" t="s">
        <v>144</v>
      </c>
      <c r="C47" s="38">
        <f>C46/$B43</f>
        <v>0.53774487326783349</v>
      </c>
      <c r="D47" s="38">
        <f t="shared" ref="D47:E47" si="8">D46/$B43</f>
        <v>0.54102158542721768</v>
      </c>
      <c r="E47" s="38">
        <f t="shared" si="8"/>
        <v>0.80466673879555062</v>
      </c>
      <c r="F47" s="38">
        <f t="shared" ref="F47:J47" si="9">F46/$B43</f>
        <v>1.000525853911532</v>
      </c>
      <c r="G47" s="38">
        <f t="shared" si="9"/>
        <v>1.0595434069906629</v>
      </c>
      <c r="H47" s="38">
        <f t="shared" si="9"/>
        <v>1.1213297092003829</v>
      </c>
      <c r="I47" s="38">
        <f t="shared" si="9"/>
        <v>1.1849696004763941</v>
      </c>
      <c r="J47" s="38">
        <f t="shared" si="9"/>
        <v>1.2505186884906865</v>
      </c>
    </row>
    <row r="48" spans="1:18" x14ac:dyDescent="0.2">
      <c r="J48"/>
    </row>
    <row r="49" spans="1:10" x14ac:dyDescent="0.2">
      <c r="J49"/>
    </row>
    <row r="50" spans="1:10" x14ac:dyDescent="0.2">
      <c r="A50" t="s">
        <v>143</v>
      </c>
      <c r="B50" s="36">
        <v>40000</v>
      </c>
      <c r="C50" s="39">
        <f>ROUND(($B50*C47),0)+$B50</f>
        <v>61510</v>
      </c>
      <c r="D50" s="39">
        <f t="shared" ref="D50:E50" si="10">ROUND(($B50*D47),0)+$B50</f>
        <v>61641</v>
      </c>
      <c r="E50" s="39">
        <f t="shared" si="10"/>
        <v>72187</v>
      </c>
      <c r="F50" s="39">
        <f t="shared" ref="F50:J50" si="11">ROUND(($B50*F47),0)+$B50</f>
        <v>80021</v>
      </c>
      <c r="G50" s="39">
        <f t="shared" si="11"/>
        <v>82382</v>
      </c>
      <c r="H50" s="39">
        <f t="shared" si="11"/>
        <v>84853</v>
      </c>
      <c r="I50" s="39">
        <f t="shared" si="11"/>
        <v>87399</v>
      </c>
      <c r="J50" s="39">
        <f t="shared" si="11"/>
        <v>90021</v>
      </c>
    </row>
    <row r="51" spans="1:10" x14ac:dyDescent="0.2">
      <c r="J51"/>
    </row>
    <row r="52" spans="1:10" x14ac:dyDescent="0.2">
      <c r="B52" s="36"/>
      <c r="J52"/>
    </row>
    <row r="53" spans="1:10" x14ac:dyDescent="0.2">
      <c r="A53" s="2" t="s">
        <v>142</v>
      </c>
      <c r="C53" s="38">
        <f>(C50-R23)/R23</f>
        <v>-3.2671063045372701E-3</v>
      </c>
      <c r="D53" s="38">
        <f>(D50-C50)/C50</f>
        <v>2.1297350024386281E-3</v>
      </c>
      <c r="E53" s="38">
        <f>(E50-D50)/D50</f>
        <v>0.17108742557713211</v>
      </c>
      <c r="F53" s="38">
        <f t="shared" ref="F53:J53" si="12">(F50-E50)/E50</f>
        <v>0.10852369540221923</v>
      </c>
      <c r="G53" s="38">
        <f t="shared" si="12"/>
        <v>2.9504755001812023E-2</v>
      </c>
      <c r="H53" s="38">
        <f t="shared" si="12"/>
        <v>2.9994416255978248E-2</v>
      </c>
      <c r="I53" s="38">
        <f t="shared" si="12"/>
        <v>3.0004831885731796E-2</v>
      </c>
      <c r="J53" s="38">
        <f t="shared" si="12"/>
        <v>3.0000343253355301E-2</v>
      </c>
    </row>
    <row r="54" spans="1:10" x14ac:dyDescent="0.2">
      <c r="C54" s="38"/>
      <c r="D54" s="38"/>
    </row>
    <row r="63" spans="1:10" x14ac:dyDescent="0.2">
      <c r="A63">
        <v>2014.3</v>
      </c>
    </row>
  </sheetData>
  <sheetProtection algorithmName="SHA-512" hashValue="jbOHFge1E353by3rQv/DPYaDb8Kpcwfh3CUBjlHVBCbcpjMU2gpvlskhC2A+vZm2Sc+el9Wh5VqFJTe7twrm8A==" saltValue="JTgufd7kM+I86S5USVPLKw==" spinCount="100000" sheet="1" objects="1" scenarios="1"/>
  <printOptions gridLines="1"/>
  <pageMargins left="0.25" right="0.25" top="0.75" bottom="0.75" header="0.3" footer="0.3"/>
  <pageSetup scale="64" orientation="landscape" horizontalDpi="4294967293" r:id="rId1"/>
  <headerFooter alignWithMargins="0">
    <oddHeader xml:space="preserve">&amp;CEASTLAKE WOODLANDS COMMUNITY ASSOCIATION
Country Club Usage Agreement Spreadsheet
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26" zoomScale="50" zoomScaleNormal="50" workbookViewId="0"/>
  </sheetViews>
  <sheetFormatPr defaultRowHeight="12.75" x14ac:dyDescent="0.2"/>
  <sheetData/>
  <sheetProtection algorithmName="SHA-512" hashValue="ePaTbE6peHZ/hb2Jv+NqELLl28Y97NsRSW+pmDl8JVivWbtDvINVme+Y4uAUf7T8kwGaqGK8fs27JLnMBfBp2w==" saltValue="R+dsdcOMWgcinXXBGlWsv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88"/>
  <sheetViews>
    <sheetView zoomScale="115" zoomScaleNormal="115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6" sqref="C26"/>
    </sheetView>
  </sheetViews>
  <sheetFormatPr defaultRowHeight="12.75" x14ac:dyDescent="0.2"/>
  <cols>
    <col min="1" max="1" width="10.85546875" style="3" customWidth="1"/>
    <col min="2" max="2" width="31.42578125" style="151" customWidth="1"/>
    <col min="3" max="3" width="12.85546875" style="151" customWidth="1"/>
    <col min="4" max="4" width="11.7109375" style="151" customWidth="1"/>
    <col min="5" max="6" width="12.140625" style="151" customWidth="1"/>
    <col min="7" max="7" width="14.140625" style="25" hidden="1" customWidth="1"/>
    <col min="8" max="9" width="12" style="25" hidden="1" customWidth="1"/>
    <col min="10" max="10" width="12" style="24" hidden="1" customWidth="1"/>
    <col min="11" max="11" width="10.42578125" style="25" hidden="1" customWidth="1"/>
    <col min="12" max="12" width="13.28515625" style="64" hidden="1" customWidth="1"/>
    <col min="13" max="18" width="13.28515625" style="64" customWidth="1"/>
    <col min="19" max="19" width="17.5703125" style="10" customWidth="1"/>
    <col min="20" max="20" width="24.140625" style="5" customWidth="1"/>
  </cols>
  <sheetData>
    <row r="1" spans="1:20" ht="15" x14ac:dyDescent="0.35">
      <c r="A1" s="138">
        <f ca="1">NOW()</f>
        <v>42780.48384050926</v>
      </c>
      <c r="B1" s="70"/>
      <c r="C1" s="70"/>
      <c r="D1" s="70"/>
      <c r="E1" s="70"/>
      <c r="F1" s="70"/>
      <c r="G1" s="190" t="s">
        <v>258</v>
      </c>
      <c r="H1" s="190"/>
      <c r="I1" s="190"/>
      <c r="J1" s="190"/>
      <c r="K1" s="190"/>
      <c r="L1" s="115">
        <f>SUM(L4:L6)/SUM(E4:E6)</f>
        <v>1.0655028091593242</v>
      </c>
      <c r="M1" s="185"/>
      <c r="N1" s="164"/>
      <c r="O1" s="115"/>
      <c r="P1" s="115"/>
      <c r="Q1" s="115"/>
      <c r="R1" s="115"/>
      <c r="T1" s="17"/>
    </row>
    <row r="2" spans="1:20" ht="12.75" customHeight="1" x14ac:dyDescent="0.2">
      <c r="A2" s="139"/>
      <c r="B2" s="152"/>
      <c r="C2" s="192" t="s">
        <v>331</v>
      </c>
      <c r="D2" s="192"/>
      <c r="E2" s="192"/>
      <c r="F2" s="192"/>
      <c r="G2" s="18" t="s">
        <v>2</v>
      </c>
      <c r="H2" s="18" t="s">
        <v>3</v>
      </c>
      <c r="I2" s="18" t="s">
        <v>1</v>
      </c>
      <c r="J2" s="26">
        <v>2016</v>
      </c>
      <c r="K2" s="18" t="s">
        <v>3</v>
      </c>
      <c r="L2" s="96"/>
      <c r="M2" s="186" t="s">
        <v>274</v>
      </c>
      <c r="N2" s="165" t="s">
        <v>305</v>
      </c>
      <c r="O2" s="193" t="s">
        <v>332</v>
      </c>
      <c r="P2" s="193"/>
      <c r="Q2" s="193"/>
      <c r="R2" s="193"/>
      <c r="S2" s="65"/>
      <c r="T2" s="17"/>
    </row>
    <row r="3" spans="1:20" s="2" customFormat="1" ht="15" x14ac:dyDescent="0.35">
      <c r="A3" s="4" t="s">
        <v>104</v>
      </c>
      <c r="B3" s="153" t="s">
        <v>105</v>
      </c>
      <c r="C3" s="159">
        <v>2013</v>
      </c>
      <c r="D3" s="159">
        <v>2014</v>
      </c>
      <c r="E3" s="159">
        <v>2015</v>
      </c>
      <c r="F3" s="159">
        <v>2016</v>
      </c>
      <c r="G3" s="114" t="s">
        <v>273</v>
      </c>
      <c r="H3" s="19" t="s">
        <v>64</v>
      </c>
      <c r="I3" s="19" t="s">
        <v>264</v>
      </c>
      <c r="J3" s="19" t="s">
        <v>62</v>
      </c>
      <c r="K3" s="19" t="s">
        <v>4</v>
      </c>
      <c r="L3" s="160" t="s">
        <v>241</v>
      </c>
      <c r="M3" s="187">
        <v>2017</v>
      </c>
      <c r="N3" s="166">
        <v>2017</v>
      </c>
      <c r="O3" s="102">
        <v>2018</v>
      </c>
      <c r="P3" s="102">
        <v>2019</v>
      </c>
      <c r="Q3" s="102">
        <v>2020</v>
      </c>
      <c r="R3" s="102">
        <v>2021</v>
      </c>
      <c r="S3" s="66" t="s">
        <v>107</v>
      </c>
      <c r="T3" s="67" t="s">
        <v>110</v>
      </c>
    </row>
    <row r="4" spans="1:20" x14ac:dyDescent="0.2">
      <c r="A4" s="3" t="s">
        <v>15</v>
      </c>
      <c r="B4" s="154" t="s">
        <v>102</v>
      </c>
      <c r="C4" s="92">
        <v>1156150</v>
      </c>
      <c r="D4" s="92">
        <v>1156754</v>
      </c>
      <c r="E4" s="92">
        <v>1180458</v>
      </c>
      <c r="F4" s="92">
        <v>1324878</v>
      </c>
      <c r="G4" s="74">
        <v>1106305</v>
      </c>
      <c r="H4" s="161">
        <f ca="1">ROUND(((G4/$A$1)*(12-$A$1)),0)</f>
        <v>-1105995</v>
      </c>
      <c r="I4" s="22">
        <f ca="1">SUM(G4+H4)</f>
        <v>310</v>
      </c>
      <c r="J4" s="22">
        <v>1321881</v>
      </c>
      <c r="K4" s="22">
        <f ca="1">+I4-J4</f>
        <v>-1321571</v>
      </c>
      <c r="L4" s="74">
        <f>+' Income 2016'!F68-'income &amp; expenses'!L5-'income &amp; expenses'!L6</f>
        <v>1321881.4000000004</v>
      </c>
      <c r="M4" s="167">
        <f>+' Income 2017'!$F68-'income &amp; expenses'!M5-'income &amp; expenses'!M6</f>
        <v>1454841.6</v>
      </c>
      <c r="N4" s="167">
        <f>+M4</f>
        <v>1454841.6</v>
      </c>
      <c r="O4" s="74">
        <f>+' Income 2018'!$F68-'income &amp; expenses'!O5-'income &amp; expenses'!O6</f>
        <v>1497720.3600000003</v>
      </c>
      <c r="P4" s="74">
        <f>+' Income 2019'!$F68-'income &amp; expenses'!P5-'income &amp; expenses'!P6</f>
        <v>1479843.0000000002</v>
      </c>
      <c r="Q4" s="74">
        <f>+' Income 2020'!$F68-'income &amp; expenses'!Q5-'income &amp; expenses'!Q6</f>
        <v>1480978.4399999995</v>
      </c>
      <c r="R4" s="74">
        <f>+' Income 2021'!$F68-'income &amp; expenses'!R5-'income &amp; expenses'!R6</f>
        <v>1532701.5600000005</v>
      </c>
      <c r="S4" s="11" t="s">
        <v>267</v>
      </c>
      <c r="T4" s="77"/>
    </row>
    <row r="5" spans="1:20" x14ac:dyDescent="0.2">
      <c r="A5" s="3" t="s">
        <v>75</v>
      </c>
      <c r="B5" s="154" t="s">
        <v>101</v>
      </c>
      <c r="C5" s="103">
        <v>0</v>
      </c>
      <c r="D5" s="103">
        <v>77505</v>
      </c>
      <c r="E5" s="103">
        <v>110227</v>
      </c>
      <c r="F5" s="103">
        <v>28460</v>
      </c>
      <c r="G5" s="24">
        <v>23717</v>
      </c>
      <c r="H5" s="24">
        <f t="shared" ref="H5:H15" ca="1" si="0">ROUND(((G5/$A$1)*(12-$A$1)),0)</f>
        <v>-23710</v>
      </c>
      <c r="I5" s="24">
        <f t="shared" ref="I5:I15" ca="1" si="1">SUM(G5+H5)</f>
        <v>7</v>
      </c>
      <c r="J5" s="64">
        <v>28460</v>
      </c>
      <c r="K5" s="24">
        <f t="shared" ref="K5:K15" ca="1" si="2">+I5-J5</f>
        <v>-28453</v>
      </c>
      <c r="L5" s="64">
        <v>28460</v>
      </c>
      <c r="M5" s="168">
        <v>28460</v>
      </c>
      <c r="N5" s="168">
        <f t="shared" ref="N5:N15" si="3">+M5</f>
        <v>28460</v>
      </c>
      <c r="O5" s="101">
        <v>0</v>
      </c>
      <c r="P5" s="101">
        <v>0</v>
      </c>
      <c r="Q5" s="101">
        <v>0</v>
      </c>
      <c r="R5" s="101">
        <v>0</v>
      </c>
      <c r="S5" s="11"/>
      <c r="T5" s="3"/>
    </row>
    <row r="6" spans="1:20" x14ac:dyDescent="0.2">
      <c r="A6" s="3" t="s">
        <v>16</v>
      </c>
      <c r="B6" s="154" t="s">
        <v>100</v>
      </c>
      <c r="C6" s="103">
        <v>187860</v>
      </c>
      <c r="D6" s="103">
        <v>109200</v>
      </c>
      <c r="E6" s="103">
        <v>109200</v>
      </c>
      <c r="F6" s="103">
        <v>141240</v>
      </c>
      <c r="G6" s="24">
        <v>117700</v>
      </c>
      <c r="H6" s="24">
        <f t="shared" ca="1" si="0"/>
        <v>-117667</v>
      </c>
      <c r="I6" s="24">
        <f t="shared" ca="1" si="1"/>
        <v>33</v>
      </c>
      <c r="J6" s="64">
        <v>141240</v>
      </c>
      <c r="K6" s="24">
        <f t="shared" ca="1" si="2"/>
        <v>-141207</v>
      </c>
      <c r="L6" s="64">
        <v>141240</v>
      </c>
      <c r="M6" s="169">
        <f>+' Income 2017'!$E68-M5</f>
        <v>149284</v>
      </c>
      <c r="N6" s="169">
        <f t="shared" si="3"/>
        <v>149284</v>
      </c>
      <c r="O6" s="87">
        <f>+' Income 2018'!$E68</f>
        <v>151389</v>
      </c>
      <c r="P6" s="87">
        <f>+' Income 2019'!$E68</f>
        <v>153298.79999999999</v>
      </c>
      <c r="Q6" s="87">
        <f>+' Income 2020'!$E68</f>
        <v>156124.79999999999</v>
      </c>
      <c r="R6" s="87">
        <f>+' Income 2021'!$E68</f>
        <v>159127.19999999998</v>
      </c>
      <c r="T6" s="135"/>
    </row>
    <row r="7" spans="1:20" x14ac:dyDescent="0.2">
      <c r="A7" s="3" t="s">
        <v>20</v>
      </c>
      <c r="B7" s="154" t="s">
        <v>8</v>
      </c>
      <c r="C7" s="103">
        <v>265</v>
      </c>
      <c r="D7" s="103">
        <v>300</v>
      </c>
      <c r="E7" s="103">
        <v>252</v>
      </c>
      <c r="F7" s="103">
        <v>222</v>
      </c>
      <c r="G7" s="24">
        <v>196</v>
      </c>
      <c r="H7" s="24">
        <f t="shared" ca="1" si="0"/>
        <v>-196</v>
      </c>
      <c r="I7" s="24">
        <f t="shared" ca="1" si="1"/>
        <v>0</v>
      </c>
      <c r="J7" s="24">
        <v>0</v>
      </c>
      <c r="K7" s="24">
        <f ca="1">+I7-J9</f>
        <v>0</v>
      </c>
      <c r="L7" s="64">
        <v>0</v>
      </c>
      <c r="M7" s="149"/>
      <c r="N7" s="149">
        <f t="shared" si="3"/>
        <v>0</v>
      </c>
      <c r="S7" s="12"/>
    </row>
    <row r="8" spans="1:20" x14ac:dyDescent="0.2">
      <c r="A8" s="3" t="s">
        <v>21</v>
      </c>
      <c r="B8" s="154" t="s">
        <v>9</v>
      </c>
      <c r="C8" s="103">
        <v>1986</v>
      </c>
      <c r="D8" s="103">
        <v>1772</v>
      </c>
      <c r="E8" s="103">
        <v>1705</v>
      </c>
      <c r="F8" s="103">
        <v>1606</v>
      </c>
      <c r="G8" s="24">
        <v>1278</v>
      </c>
      <c r="H8" s="24">
        <f t="shared" ca="1" si="0"/>
        <v>-1278</v>
      </c>
      <c r="I8" s="24">
        <f t="shared" ca="1" si="1"/>
        <v>0</v>
      </c>
      <c r="J8" s="24">
        <v>1800</v>
      </c>
      <c r="K8" s="24">
        <f t="shared" ca="1" si="2"/>
        <v>-1800</v>
      </c>
      <c r="L8" s="64">
        <v>1800</v>
      </c>
      <c r="M8" s="149">
        <v>1800</v>
      </c>
      <c r="N8" s="149">
        <f t="shared" si="3"/>
        <v>1800</v>
      </c>
      <c r="O8" s="64">
        <v>1800</v>
      </c>
      <c r="P8" s="64">
        <v>1800</v>
      </c>
      <c r="Q8" s="64">
        <v>1800</v>
      </c>
      <c r="R8" s="64">
        <v>1800</v>
      </c>
      <c r="S8" s="12"/>
    </row>
    <row r="9" spans="1:20" x14ac:dyDescent="0.2">
      <c r="A9" s="3" t="s">
        <v>242</v>
      </c>
      <c r="B9" s="154" t="s">
        <v>243</v>
      </c>
      <c r="C9" s="103">
        <v>116</v>
      </c>
      <c r="D9" s="103">
        <v>0</v>
      </c>
      <c r="E9" s="103">
        <v>6</v>
      </c>
      <c r="F9" s="103">
        <v>12</v>
      </c>
      <c r="G9" s="24">
        <v>12</v>
      </c>
      <c r="H9" s="24">
        <f t="shared" ca="1" si="0"/>
        <v>-12</v>
      </c>
      <c r="I9" s="24">
        <f t="shared" ref="I9" ca="1" si="4">SUM(G9+H9)</f>
        <v>0</v>
      </c>
      <c r="J9" s="24">
        <v>0</v>
      </c>
      <c r="K9" s="24">
        <f t="shared" ca="1" si="2"/>
        <v>0</v>
      </c>
      <c r="L9" s="64">
        <v>0</v>
      </c>
      <c r="M9" s="149"/>
      <c r="N9" s="149">
        <f t="shared" si="3"/>
        <v>0</v>
      </c>
      <c r="S9" s="12"/>
    </row>
    <row r="10" spans="1:20" x14ac:dyDescent="0.2">
      <c r="A10" s="3" t="s">
        <v>19</v>
      </c>
      <c r="B10" s="154" t="s">
        <v>7</v>
      </c>
      <c r="C10" s="103">
        <v>8477</v>
      </c>
      <c r="D10" s="103">
        <v>35189</v>
      </c>
      <c r="E10" s="103">
        <v>19397</v>
      </c>
      <c r="F10" s="103">
        <v>16981</v>
      </c>
      <c r="G10" s="24">
        <v>13741</v>
      </c>
      <c r="H10" s="24">
        <f t="shared" ca="1" si="0"/>
        <v>-13737</v>
      </c>
      <c r="I10" s="24">
        <f t="shared" ca="1" si="1"/>
        <v>4</v>
      </c>
      <c r="J10" s="24">
        <v>12000</v>
      </c>
      <c r="K10" s="24">
        <f t="shared" ca="1" si="2"/>
        <v>-11996</v>
      </c>
      <c r="L10" s="64">
        <v>12000</v>
      </c>
      <c r="M10" s="149">
        <v>15000</v>
      </c>
      <c r="N10" s="149">
        <f t="shared" si="3"/>
        <v>15000</v>
      </c>
      <c r="O10" s="64">
        <v>12000</v>
      </c>
      <c r="P10" s="64">
        <v>12000</v>
      </c>
      <c r="Q10" s="64">
        <v>12000</v>
      </c>
      <c r="R10" s="64">
        <v>12000</v>
      </c>
      <c r="S10" s="3" t="s">
        <v>139</v>
      </c>
    </row>
    <row r="11" spans="1:20" x14ac:dyDescent="0.2">
      <c r="A11" s="3" t="s">
        <v>112</v>
      </c>
      <c r="B11" s="154" t="s">
        <v>97</v>
      </c>
      <c r="C11" s="103">
        <v>105</v>
      </c>
      <c r="D11" s="103">
        <v>1295</v>
      </c>
      <c r="E11" s="103">
        <v>735</v>
      </c>
      <c r="F11" s="103">
        <v>280</v>
      </c>
      <c r="G11" s="24">
        <v>280</v>
      </c>
      <c r="H11" s="24">
        <f t="shared" ca="1" si="0"/>
        <v>-280</v>
      </c>
      <c r="I11" s="24">
        <f t="shared" ca="1" si="1"/>
        <v>0</v>
      </c>
      <c r="J11" s="24">
        <v>0</v>
      </c>
      <c r="K11" s="24">
        <f t="shared" ca="1" si="2"/>
        <v>0</v>
      </c>
      <c r="L11" s="64">
        <v>0</v>
      </c>
      <c r="M11" s="149">
        <v>0</v>
      </c>
      <c r="N11" s="149">
        <f t="shared" si="3"/>
        <v>0</v>
      </c>
      <c r="O11" s="64">
        <v>0</v>
      </c>
      <c r="P11" s="64">
        <v>0</v>
      </c>
      <c r="Q11" s="64">
        <v>0</v>
      </c>
      <c r="R11" s="64">
        <v>0</v>
      </c>
      <c r="S11" s="12"/>
    </row>
    <row r="12" spans="1:20" x14ac:dyDescent="0.2">
      <c r="A12" s="3" t="s">
        <v>17</v>
      </c>
      <c r="B12" s="154" t="s">
        <v>5</v>
      </c>
      <c r="C12" s="103">
        <v>61712</v>
      </c>
      <c r="D12" s="103">
        <v>61510</v>
      </c>
      <c r="E12" s="103">
        <v>61641</v>
      </c>
      <c r="F12" s="103">
        <v>72187</v>
      </c>
      <c r="G12" s="64">
        <v>60156</v>
      </c>
      <c r="H12" s="64">
        <f t="shared" ca="1" si="0"/>
        <v>-60139</v>
      </c>
      <c r="I12" s="24">
        <f t="shared" ca="1" si="1"/>
        <v>17</v>
      </c>
      <c r="J12" s="24">
        <v>72187</v>
      </c>
      <c r="K12" s="24">
        <f t="shared" ca="1" si="2"/>
        <v>-72170</v>
      </c>
      <c r="L12" s="64">
        <f>+'Usage fee'!E50</f>
        <v>72187</v>
      </c>
      <c r="M12" s="149">
        <f>+'Usage fee'!F50</f>
        <v>80021</v>
      </c>
      <c r="N12" s="149">
        <f t="shared" si="3"/>
        <v>80021</v>
      </c>
      <c r="O12" s="64">
        <f>+'Usage fee'!G50</f>
        <v>82382</v>
      </c>
      <c r="P12" s="64">
        <f>+'Usage fee'!H50</f>
        <v>84853</v>
      </c>
      <c r="Q12" s="64">
        <f>+'Usage fee'!I50</f>
        <v>87399</v>
      </c>
      <c r="R12" s="64">
        <f>+'Usage fee'!J50</f>
        <v>90021</v>
      </c>
      <c r="S12" s="11" t="s">
        <v>237</v>
      </c>
    </row>
    <row r="13" spans="1:20" x14ac:dyDescent="0.2">
      <c r="A13" s="3" t="s">
        <v>18</v>
      </c>
      <c r="B13" s="154" t="s">
        <v>6</v>
      </c>
      <c r="C13" s="103">
        <v>19909</v>
      </c>
      <c r="D13" s="103">
        <v>20505</v>
      </c>
      <c r="E13" s="103">
        <v>21120</v>
      </c>
      <c r="F13" s="103">
        <v>21754</v>
      </c>
      <c r="G13" s="24">
        <v>18128</v>
      </c>
      <c r="H13" s="24">
        <f t="shared" ca="1" si="0"/>
        <v>-18123</v>
      </c>
      <c r="I13" s="24">
        <f t="shared" ca="1" si="1"/>
        <v>5</v>
      </c>
      <c r="J13" s="24">
        <v>21754</v>
      </c>
      <c r="K13" s="24">
        <f t="shared" ca="1" si="2"/>
        <v>-21749</v>
      </c>
      <c r="L13" s="64">
        <v>21754</v>
      </c>
      <c r="M13" s="149">
        <f>+L13*1.03</f>
        <v>22406.62</v>
      </c>
      <c r="N13" s="149">
        <f t="shared" si="3"/>
        <v>22406.62</v>
      </c>
      <c r="O13" s="64">
        <f>+M13*1.03</f>
        <v>23078.818599999999</v>
      </c>
      <c r="P13" s="64">
        <f t="shared" ref="P13:R13" si="5">+O13*1.03</f>
        <v>23771.183158</v>
      </c>
      <c r="Q13" s="64">
        <f t="shared" si="5"/>
        <v>24484.318652739999</v>
      </c>
      <c r="R13" s="64">
        <f t="shared" si="5"/>
        <v>25218.848212322198</v>
      </c>
      <c r="S13" s="11" t="s">
        <v>254</v>
      </c>
      <c r="T13" s="113" t="s">
        <v>255</v>
      </c>
    </row>
    <row r="14" spans="1:20" x14ac:dyDescent="0.2">
      <c r="A14" s="3" t="s">
        <v>48</v>
      </c>
      <c r="B14" s="154" t="s">
        <v>99</v>
      </c>
      <c r="C14" s="103">
        <f>-C6</f>
        <v>-187860</v>
      </c>
      <c r="D14" s="103">
        <f>-D5-D6</f>
        <v>-186705</v>
      </c>
      <c r="E14" s="103">
        <f>-E5-E6</f>
        <v>-219427</v>
      </c>
      <c r="F14" s="103">
        <f>-F5-F6</f>
        <v>-169700</v>
      </c>
      <c r="G14" s="24">
        <f>-G5-G6</f>
        <v>-141417</v>
      </c>
      <c r="H14" s="24">
        <f t="shared" ca="1" si="0"/>
        <v>141377</v>
      </c>
      <c r="I14" s="24">
        <f t="shared" ca="1" si="1"/>
        <v>-40</v>
      </c>
      <c r="J14" s="24">
        <v>-169700</v>
      </c>
      <c r="K14" s="24">
        <f t="shared" ca="1" si="2"/>
        <v>169660</v>
      </c>
      <c r="L14" s="24">
        <f>-L6+-L5</f>
        <v>-169700</v>
      </c>
      <c r="M14" s="169">
        <f t="shared" ref="M14:R14" si="6">-M5-M6</f>
        <v>-177744</v>
      </c>
      <c r="N14" s="169">
        <f t="shared" si="3"/>
        <v>-177744</v>
      </c>
      <c r="O14" s="87">
        <f t="shared" si="6"/>
        <v>-151389</v>
      </c>
      <c r="P14" s="87">
        <f t="shared" si="6"/>
        <v>-153298.79999999999</v>
      </c>
      <c r="Q14" s="87">
        <f t="shared" si="6"/>
        <v>-156124.79999999999</v>
      </c>
      <c r="R14" s="87">
        <f t="shared" si="6"/>
        <v>-159127.19999999998</v>
      </c>
      <c r="S14" s="11"/>
      <c r="T14" s="17"/>
    </row>
    <row r="15" spans="1:20" ht="15" x14ac:dyDescent="0.35">
      <c r="A15" s="3" t="s">
        <v>50</v>
      </c>
      <c r="B15" s="154" t="s">
        <v>98</v>
      </c>
      <c r="C15" s="104">
        <f>-C8</f>
        <v>-1986</v>
      </c>
      <c r="D15" s="104">
        <f>-D8</f>
        <v>-1772</v>
      </c>
      <c r="E15" s="104">
        <f>-E8</f>
        <v>-1705</v>
      </c>
      <c r="F15" s="104">
        <f>-F8</f>
        <v>-1606</v>
      </c>
      <c r="G15" s="61">
        <f>-G8</f>
        <v>-1278</v>
      </c>
      <c r="H15" s="61">
        <f t="shared" ca="1" si="0"/>
        <v>1278</v>
      </c>
      <c r="I15" s="61">
        <f t="shared" ca="1" si="1"/>
        <v>0</v>
      </c>
      <c r="J15" s="61">
        <v>-1800</v>
      </c>
      <c r="K15" s="61">
        <f t="shared" ca="1" si="2"/>
        <v>1800</v>
      </c>
      <c r="L15" s="97">
        <f>-L8</f>
        <v>-1800</v>
      </c>
      <c r="M15" s="170">
        <f t="shared" ref="M15:R15" si="7">-M8</f>
        <v>-1800</v>
      </c>
      <c r="N15" s="170">
        <f t="shared" si="3"/>
        <v>-1800</v>
      </c>
      <c r="O15" s="91">
        <f t="shared" si="7"/>
        <v>-1800</v>
      </c>
      <c r="P15" s="91">
        <f t="shared" si="7"/>
        <v>-1800</v>
      </c>
      <c r="Q15" s="91">
        <f t="shared" si="7"/>
        <v>-1800</v>
      </c>
      <c r="R15" s="91">
        <f t="shared" si="7"/>
        <v>-1800</v>
      </c>
      <c r="S15" s="11"/>
    </row>
    <row r="16" spans="1:20" s="1" customFormat="1" x14ac:dyDescent="0.2">
      <c r="A16" s="5"/>
      <c r="B16" s="150" t="s">
        <v>103</v>
      </c>
      <c r="C16" s="93">
        <f t="shared" ref="C16:D16" si="8">SUM(C4:C15)</f>
        <v>1246734</v>
      </c>
      <c r="D16" s="93">
        <f t="shared" si="8"/>
        <v>1275553</v>
      </c>
      <c r="E16" s="93">
        <f>SUM(E4:E15)</f>
        <v>1283609</v>
      </c>
      <c r="F16" s="93">
        <f>SUM(F4:F15)</f>
        <v>1436314</v>
      </c>
      <c r="G16" s="22">
        <f t="shared" ref="G16:R16" si="9">SUM(G4:G15)</f>
        <v>1198818</v>
      </c>
      <c r="H16" s="161">
        <f t="shared" ca="1" si="9"/>
        <v>-1198482</v>
      </c>
      <c r="I16" s="22">
        <f t="shared" ca="1" si="9"/>
        <v>336</v>
      </c>
      <c r="J16" s="22">
        <v>1427822.0000000005</v>
      </c>
      <c r="K16" s="24">
        <f t="shared" ca="1" si="9"/>
        <v>-1427486</v>
      </c>
      <c r="L16" s="74">
        <f t="shared" si="9"/>
        <v>1427822.4000000004</v>
      </c>
      <c r="M16" s="93">
        <f t="shared" si="9"/>
        <v>1572269.2200000002</v>
      </c>
      <c r="N16" s="93">
        <f t="shared" si="9"/>
        <v>1572269.2200000002</v>
      </c>
      <c r="O16" s="88">
        <f t="shared" si="9"/>
        <v>1615181.1786000002</v>
      </c>
      <c r="P16" s="88">
        <f t="shared" si="9"/>
        <v>1600467.1831580002</v>
      </c>
      <c r="Q16" s="88">
        <f t="shared" si="9"/>
        <v>1604861.7586527395</v>
      </c>
      <c r="R16" s="88">
        <f t="shared" si="9"/>
        <v>1659941.4082123227</v>
      </c>
      <c r="S16" s="11"/>
      <c r="T16" s="5"/>
    </row>
    <row r="17" spans="1:20" s="1" customFormat="1" x14ac:dyDescent="0.2">
      <c r="A17" s="5"/>
      <c r="B17" s="150"/>
      <c r="C17" s="82"/>
      <c r="D17" s="82"/>
      <c r="E17" s="82"/>
      <c r="F17" s="82"/>
      <c r="G17" s="63"/>
      <c r="H17" s="63"/>
      <c r="I17" s="63"/>
      <c r="J17" s="62"/>
      <c r="K17" s="63"/>
      <c r="L17" s="98"/>
      <c r="M17" s="171"/>
      <c r="N17" s="171"/>
      <c r="O17" s="98"/>
      <c r="P17" s="98"/>
      <c r="Q17" s="98"/>
      <c r="R17" s="98"/>
      <c r="S17" s="13"/>
      <c r="T17" s="5"/>
    </row>
    <row r="18" spans="1:20" s="1" customFormat="1" x14ac:dyDescent="0.2">
      <c r="A18" s="5"/>
      <c r="B18" s="153" t="s">
        <v>13</v>
      </c>
      <c r="C18" s="83"/>
      <c r="D18" s="83"/>
      <c r="E18" s="83"/>
      <c r="F18" s="83"/>
      <c r="G18" s="63"/>
      <c r="H18" s="63"/>
      <c r="I18" s="63"/>
      <c r="J18" s="27"/>
      <c r="K18" s="21"/>
      <c r="L18" s="99"/>
      <c r="M18" s="172"/>
      <c r="N18" s="172"/>
      <c r="O18" s="99"/>
      <c r="P18" s="99"/>
      <c r="Q18" s="99"/>
      <c r="R18" s="99"/>
      <c r="S18" s="13"/>
      <c r="T18" s="5"/>
    </row>
    <row r="19" spans="1:20" x14ac:dyDescent="0.2">
      <c r="A19" s="3" t="s">
        <v>22</v>
      </c>
      <c r="B19" s="154" t="s">
        <v>51</v>
      </c>
      <c r="C19" s="92">
        <v>29919</v>
      </c>
      <c r="D19" s="92">
        <v>27692</v>
      </c>
      <c r="E19" s="92">
        <v>29614</v>
      </c>
      <c r="F19" s="92">
        <v>33277</v>
      </c>
      <c r="G19" s="22">
        <v>27402</v>
      </c>
      <c r="H19" s="161">
        <f ca="1">ROUND(((G19/$A$1)*(12-$A$1)),0)</f>
        <v>-27394</v>
      </c>
      <c r="I19" s="22">
        <f t="shared" ref="I19:I34" ca="1" si="10">SUM(G19+H19)</f>
        <v>8</v>
      </c>
      <c r="J19" s="22">
        <v>30000</v>
      </c>
      <c r="K19" s="22">
        <f ca="1">+J19-I19</f>
        <v>29992</v>
      </c>
      <c r="L19" s="74">
        <v>30000</v>
      </c>
      <c r="M19" s="92">
        <v>33000</v>
      </c>
      <c r="N19" s="92">
        <f>+M19</f>
        <v>33000</v>
      </c>
      <c r="O19" s="74">
        <f>+M19*1.04</f>
        <v>34320</v>
      </c>
      <c r="P19" s="74">
        <f t="shared" ref="P19:R24" si="11">+O19*1.04</f>
        <v>35692.800000000003</v>
      </c>
      <c r="Q19" s="74">
        <f t="shared" si="11"/>
        <v>37120.512000000002</v>
      </c>
      <c r="R19" s="74">
        <f t="shared" si="11"/>
        <v>38605.332480000005</v>
      </c>
      <c r="S19" s="116" t="s">
        <v>271</v>
      </c>
      <c r="T19" s="11"/>
    </row>
    <row r="20" spans="1:20" x14ac:dyDescent="0.2">
      <c r="A20" s="3" t="s">
        <v>238</v>
      </c>
      <c r="B20" s="154" t="s">
        <v>239</v>
      </c>
      <c r="C20" s="103">
        <v>0</v>
      </c>
      <c r="D20" s="103">
        <v>682</v>
      </c>
      <c r="E20" s="103">
        <v>709</v>
      </c>
      <c r="F20" s="103">
        <v>708</v>
      </c>
      <c r="G20" s="24">
        <f>589+25</f>
        <v>614</v>
      </c>
      <c r="H20" s="24">
        <f t="shared" ref="H20:H35" ca="1" si="12">ROUND(((G20/$A$1)*(12-$A$1)),0)</f>
        <v>-614</v>
      </c>
      <c r="I20" s="24">
        <f t="shared" ref="I20" ca="1" si="13">SUM(G20+H20)</f>
        <v>0</v>
      </c>
      <c r="J20" s="24">
        <v>500</v>
      </c>
      <c r="K20" s="24">
        <f ca="1">+J20-I20</f>
        <v>500</v>
      </c>
      <c r="L20" s="64">
        <v>500</v>
      </c>
      <c r="M20" s="149">
        <v>800</v>
      </c>
      <c r="N20" s="149">
        <f>+M20</f>
        <v>800</v>
      </c>
      <c r="O20" s="64">
        <v>1000</v>
      </c>
      <c r="P20" s="64">
        <v>1000</v>
      </c>
      <c r="Q20" s="64">
        <v>1000</v>
      </c>
      <c r="R20" s="64">
        <v>1000</v>
      </c>
      <c r="S20" s="11"/>
    </row>
    <row r="21" spans="1:20" s="1" customFormat="1" x14ac:dyDescent="0.2">
      <c r="A21" s="3" t="s">
        <v>40</v>
      </c>
      <c r="B21" s="154" t="s">
        <v>52</v>
      </c>
      <c r="C21" s="103">
        <v>74710</v>
      </c>
      <c r="D21" s="103">
        <v>71701</v>
      </c>
      <c r="E21" s="103">
        <v>31000</v>
      </c>
      <c r="F21" s="103">
        <v>30125</v>
      </c>
      <c r="G21" s="24">
        <v>25165</v>
      </c>
      <c r="H21" s="24">
        <f t="shared" ca="1" si="12"/>
        <v>-25158</v>
      </c>
      <c r="I21" s="24">
        <f ca="1">SUM(G21+H21)</f>
        <v>7</v>
      </c>
      <c r="J21" s="24">
        <v>40000</v>
      </c>
      <c r="K21" s="24">
        <f t="shared" ref="K21:K35" ca="1" si="14">+J21-I21</f>
        <v>39993</v>
      </c>
      <c r="L21" s="64">
        <v>40000</v>
      </c>
      <c r="M21" s="149">
        <v>40000</v>
      </c>
      <c r="N21" s="149">
        <f t="shared" ref="N21:N34" si="15">+M21</f>
        <v>40000</v>
      </c>
      <c r="O21" s="64">
        <f>+M21*1.04</f>
        <v>41600</v>
      </c>
      <c r="P21" s="64">
        <f t="shared" si="11"/>
        <v>43264</v>
      </c>
      <c r="Q21" s="64">
        <f t="shared" si="11"/>
        <v>44994.560000000005</v>
      </c>
      <c r="R21" s="64">
        <f t="shared" si="11"/>
        <v>46794.342400000009</v>
      </c>
      <c r="S21" s="116" t="s">
        <v>271</v>
      </c>
      <c r="T21" s="3"/>
    </row>
    <row r="22" spans="1:20" s="1" customFormat="1" x14ac:dyDescent="0.2">
      <c r="A22" s="3" t="s">
        <v>244</v>
      </c>
      <c r="B22" s="154" t="s">
        <v>245</v>
      </c>
      <c r="C22" s="103"/>
      <c r="D22" s="103">
        <v>25960</v>
      </c>
      <c r="E22" s="103">
        <v>1280</v>
      </c>
      <c r="F22" s="103">
        <v>6422</v>
      </c>
      <c r="G22" s="24">
        <v>4868</v>
      </c>
      <c r="H22" s="24">
        <f t="shared" ca="1" si="12"/>
        <v>-4867</v>
      </c>
      <c r="I22" s="24">
        <f ca="1">SUM(G22+H22)</f>
        <v>1</v>
      </c>
      <c r="J22" s="24">
        <v>0</v>
      </c>
      <c r="K22" s="24">
        <f t="shared" ref="K22" ca="1" si="16">+J22-I22</f>
        <v>-1</v>
      </c>
      <c r="L22" s="64">
        <v>0</v>
      </c>
      <c r="M22" s="149">
        <v>5000</v>
      </c>
      <c r="N22" s="149">
        <f t="shared" si="15"/>
        <v>5000</v>
      </c>
      <c r="O22" s="64"/>
      <c r="P22" s="64"/>
      <c r="Q22" s="64"/>
      <c r="R22" s="64"/>
      <c r="S22" s="12"/>
      <c r="T22" s="3"/>
    </row>
    <row r="23" spans="1:20" s="1" customFormat="1" x14ac:dyDescent="0.2">
      <c r="A23" s="3" t="s">
        <v>73</v>
      </c>
      <c r="B23" s="154" t="s">
        <v>74</v>
      </c>
      <c r="C23" s="103">
        <v>11293</v>
      </c>
      <c r="D23" s="103">
        <v>5145</v>
      </c>
      <c r="E23" s="103">
        <v>9475</v>
      </c>
      <c r="F23" s="103">
        <v>235</v>
      </c>
      <c r="G23" s="24">
        <v>160</v>
      </c>
      <c r="H23" s="24">
        <f t="shared" ca="1" si="12"/>
        <v>-160</v>
      </c>
      <c r="I23" s="24">
        <f ca="1">SUM(G23+H23)</f>
        <v>0</v>
      </c>
      <c r="J23" s="24">
        <v>6200</v>
      </c>
      <c r="K23" s="24">
        <f t="shared" ca="1" si="14"/>
        <v>6200</v>
      </c>
      <c r="L23" s="64">
        <f>5000+1200</f>
        <v>6200</v>
      </c>
      <c r="M23" s="149">
        <v>6000</v>
      </c>
      <c r="N23" s="149">
        <f t="shared" si="15"/>
        <v>6000</v>
      </c>
      <c r="O23" s="64">
        <f>+M23*1.04</f>
        <v>6240</v>
      </c>
      <c r="P23" s="64">
        <f t="shared" si="11"/>
        <v>6489.6</v>
      </c>
      <c r="Q23" s="64">
        <f t="shared" si="11"/>
        <v>6749.1840000000002</v>
      </c>
      <c r="R23" s="64">
        <f t="shared" si="11"/>
        <v>7019.1513600000008</v>
      </c>
      <c r="S23" s="12" t="s">
        <v>263</v>
      </c>
      <c r="T23" s="17"/>
    </row>
    <row r="24" spans="1:20" x14ac:dyDescent="0.2">
      <c r="A24" s="3" t="s">
        <v>39</v>
      </c>
      <c r="B24" s="154" t="s">
        <v>67</v>
      </c>
      <c r="C24" s="103">
        <v>3080</v>
      </c>
      <c r="D24" s="103">
        <v>3080</v>
      </c>
      <c r="E24" s="103">
        <v>3100</v>
      </c>
      <c r="F24" s="103">
        <v>3100</v>
      </c>
      <c r="G24" s="24">
        <v>3100</v>
      </c>
      <c r="H24" s="24">
        <f t="shared" ca="1" si="12"/>
        <v>-3099</v>
      </c>
      <c r="I24" s="24">
        <f ca="1">SUM(G24+H24)</f>
        <v>1</v>
      </c>
      <c r="J24" s="24">
        <v>3528</v>
      </c>
      <c r="K24" s="24">
        <f t="shared" ca="1" si="14"/>
        <v>3527</v>
      </c>
      <c r="L24" s="64">
        <v>3528</v>
      </c>
      <c r="M24" s="149">
        <v>6400</v>
      </c>
      <c r="N24" s="149">
        <f t="shared" si="15"/>
        <v>6400</v>
      </c>
      <c r="O24" s="64">
        <f>+M24*1.04</f>
        <v>6656</v>
      </c>
      <c r="P24" s="64">
        <f t="shared" si="11"/>
        <v>6922.24</v>
      </c>
      <c r="Q24" s="64">
        <f t="shared" si="11"/>
        <v>7199.1296000000002</v>
      </c>
      <c r="R24" s="64">
        <f t="shared" si="11"/>
        <v>7487.0947840000008</v>
      </c>
      <c r="S24" s="11"/>
    </row>
    <row r="25" spans="1:20" x14ac:dyDescent="0.2">
      <c r="A25" s="3" t="s">
        <v>78</v>
      </c>
      <c r="B25" s="154" t="s">
        <v>79</v>
      </c>
      <c r="C25" s="103">
        <v>0</v>
      </c>
      <c r="D25" s="103">
        <v>-100</v>
      </c>
      <c r="E25" s="103">
        <v>0</v>
      </c>
      <c r="F25" s="103">
        <v>-25</v>
      </c>
      <c r="G25" s="24">
        <v>0</v>
      </c>
      <c r="H25" s="24">
        <f t="shared" ca="1" si="12"/>
        <v>0</v>
      </c>
      <c r="I25" s="24">
        <f ca="1">SUM(G25+H25)</f>
        <v>0</v>
      </c>
      <c r="J25" s="24">
        <v>0</v>
      </c>
      <c r="K25" s="24">
        <f t="shared" ca="1" si="14"/>
        <v>0</v>
      </c>
      <c r="L25" s="64">
        <f t="shared" ref="L25" si="17">+J25</f>
        <v>0</v>
      </c>
      <c r="M25" s="169">
        <v>0</v>
      </c>
      <c r="N25" s="149">
        <f t="shared" si="15"/>
        <v>0</v>
      </c>
      <c r="O25" s="87">
        <v>0</v>
      </c>
      <c r="P25" s="87">
        <v>0</v>
      </c>
      <c r="Q25" s="87">
        <v>0</v>
      </c>
      <c r="R25" s="87">
        <v>0</v>
      </c>
      <c r="S25" s="12" t="s">
        <v>108</v>
      </c>
    </row>
    <row r="26" spans="1:20" x14ac:dyDescent="0.2">
      <c r="A26" s="3" t="s">
        <v>45</v>
      </c>
      <c r="B26" s="154" t="s">
        <v>53</v>
      </c>
      <c r="C26" s="103">
        <v>61</v>
      </c>
      <c r="D26" s="103">
        <v>61</v>
      </c>
      <c r="E26" s="103">
        <v>61</v>
      </c>
      <c r="F26" s="103">
        <v>61</v>
      </c>
      <c r="G26" s="24">
        <v>61</v>
      </c>
      <c r="H26" s="24">
        <f t="shared" ca="1" si="12"/>
        <v>-61</v>
      </c>
      <c r="I26" s="24">
        <f t="shared" ca="1" si="10"/>
        <v>0</v>
      </c>
      <c r="J26" s="24">
        <v>100</v>
      </c>
      <c r="K26" s="24">
        <f t="shared" ca="1" si="14"/>
        <v>100</v>
      </c>
      <c r="L26" s="64">
        <v>100</v>
      </c>
      <c r="M26" s="169">
        <v>100</v>
      </c>
      <c r="N26" s="149">
        <f t="shared" si="15"/>
        <v>100</v>
      </c>
      <c r="O26" s="87">
        <v>100</v>
      </c>
      <c r="P26" s="87">
        <v>100</v>
      </c>
      <c r="Q26" s="87">
        <v>100</v>
      </c>
      <c r="R26" s="87">
        <v>100</v>
      </c>
      <c r="S26" s="12"/>
    </row>
    <row r="27" spans="1:20" x14ac:dyDescent="0.2">
      <c r="A27" s="3" t="s">
        <v>46</v>
      </c>
      <c r="B27" s="155" t="s">
        <v>54</v>
      </c>
      <c r="C27" s="103">
        <v>201</v>
      </c>
      <c r="D27" s="103">
        <v>274</v>
      </c>
      <c r="E27" s="103">
        <v>290</v>
      </c>
      <c r="F27" s="103">
        <v>540</v>
      </c>
      <c r="G27" s="24">
        <v>540</v>
      </c>
      <c r="H27" s="24">
        <f t="shared" ca="1" si="12"/>
        <v>-540</v>
      </c>
      <c r="I27" s="24">
        <f t="shared" ca="1" si="10"/>
        <v>0</v>
      </c>
      <c r="J27" s="24">
        <v>500</v>
      </c>
      <c r="K27" s="24">
        <f t="shared" ca="1" si="14"/>
        <v>500</v>
      </c>
      <c r="L27" s="64">
        <v>500</v>
      </c>
      <c r="M27" s="179">
        <v>800</v>
      </c>
      <c r="N27" s="149">
        <f t="shared" si="15"/>
        <v>800</v>
      </c>
      <c r="O27" s="89">
        <v>500</v>
      </c>
      <c r="P27" s="89">
        <v>500</v>
      </c>
      <c r="Q27" s="89">
        <v>500</v>
      </c>
      <c r="R27" s="89">
        <v>500</v>
      </c>
      <c r="S27" s="12"/>
    </row>
    <row r="28" spans="1:20" x14ac:dyDescent="0.2">
      <c r="A28" s="3" t="s">
        <v>41</v>
      </c>
      <c r="B28" s="155" t="s">
        <v>65</v>
      </c>
      <c r="C28" s="103">
        <v>186876</v>
      </c>
      <c r="D28" s="103">
        <v>193470</v>
      </c>
      <c r="E28" s="103">
        <v>193470</v>
      </c>
      <c r="F28" s="103">
        <v>193470</v>
      </c>
      <c r="G28" s="24">
        <v>161225</v>
      </c>
      <c r="H28" s="24">
        <f t="shared" ca="1" si="12"/>
        <v>-161180</v>
      </c>
      <c r="I28" s="24">
        <f t="shared" ca="1" si="10"/>
        <v>45</v>
      </c>
      <c r="J28" s="24">
        <v>193470</v>
      </c>
      <c r="K28" s="24">
        <f t="shared" ca="1" si="14"/>
        <v>193425</v>
      </c>
      <c r="L28" s="64">
        <f>+J28</f>
        <v>193470</v>
      </c>
      <c r="M28" s="149">
        <v>193470</v>
      </c>
      <c r="N28" s="149">
        <f>+M28*1.05</f>
        <v>203143.5</v>
      </c>
      <c r="O28" s="64">
        <f>203144*1.03</f>
        <v>209238.32</v>
      </c>
      <c r="P28" s="64">
        <f t="shared" ref="P28:R28" si="18">+O28*1.03</f>
        <v>215515.46960000001</v>
      </c>
      <c r="Q28" s="64">
        <f t="shared" si="18"/>
        <v>221980.93368800002</v>
      </c>
      <c r="R28" s="64">
        <f t="shared" si="18"/>
        <v>228640.36169864002</v>
      </c>
      <c r="S28" s="137" t="s">
        <v>333</v>
      </c>
      <c r="T28" s="183" t="s">
        <v>337</v>
      </c>
    </row>
    <row r="29" spans="1:20" x14ac:dyDescent="0.2">
      <c r="A29" s="3" t="s">
        <v>42</v>
      </c>
      <c r="B29" s="154" t="s">
        <v>55</v>
      </c>
      <c r="C29" s="103">
        <v>12491</v>
      </c>
      <c r="D29" s="103">
        <v>14385</v>
      </c>
      <c r="E29" s="103">
        <v>16975</v>
      </c>
      <c r="F29" s="103">
        <v>11086</v>
      </c>
      <c r="G29" s="24">
        <v>8951</v>
      </c>
      <c r="H29" s="24">
        <f t="shared" ca="1" si="12"/>
        <v>-8948</v>
      </c>
      <c r="I29" s="24">
        <f t="shared" ca="1" si="10"/>
        <v>3</v>
      </c>
      <c r="J29" s="24">
        <v>17500</v>
      </c>
      <c r="K29" s="24">
        <f t="shared" ca="1" si="14"/>
        <v>17497</v>
      </c>
      <c r="L29" s="64">
        <f t="shared" ref="L29" si="19">+J29</f>
        <v>17500</v>
      </c>
      <c r="M29" s="149">
        <v>12000</v>
      </c>
      <c r="N29" s="149">
        <f t="shared" si="15"/>
        <v>12000</v>
      </c>
      <c r="O29" s="64">
        <f>+M29*1.03</f>
        <v>12360</v>
      </c>
      <c r="P29" s="64">
        <f t="shared" ref="P29:R29" si="20">+O29*1.03</f>
        <v>12730.800000000001</v>
      </c>
      <c r="Q29" s="64">
        <f t="shared" si="20"/>
        <v>13112.724000000002</v>
      </c>
      <c r="R29" s="64">
        <f t="shared" si="20"/>
        <v>13506.105720000003</v>
      </c>
      <c r="S29" s="107">
        <v>0.03</v>
      </c>
      <c r="T29" s="3"/>
    </row>
    <row r="30" spans="1:20" x14ac:dyDescent="0.2">
      <c r="A30" s="3" t="s">
        <v>43</v>
      </c>
      <c r="B30" s="154" t="s">
        <v>12</v>
      </c>
      <c r="C30" s="103">
        <v>896</v>
      </c>
      <c r="D30" s="103">
        <v>1117</v>
      </c>
      <c r="E30" s="103">
        <v>174</v>
      </c>
      <c r="F30" s="103">
        <v>99</v>
      </c>
      <c r="G30" s="24">
        <v>100</v>
      </c>
      <c r="H30" s="24">
        <f t="shared" ca="1" si="12"/>
        <v>-100</v>
      </c>
      <c r="I30" s="24">
        <f t="shared" ca="1" si="10"/>
        <v>0</v>
      </c>
      <c r="J30" s="24">
        <v>1200</v>
      </c>
      <c r="K30" s="24">
        <f t="shared" ca="1" si="14"/>
        <v>1200</v>
      </c>
      <c r="L30" s="64">
        <v>1200</v>
      </c>
      <c r="M30" s="149">
        <v>1200</v>
      </c>
      <c r="N30" s="149">
        <f t="shared" si="15"/>
        <v>1200</v>
      </c>
      <c r="O30" s="64">
        <f>+M30*1.04</f>
        <v>1248</v>
      </c>
      <c r="P30" s="64">
        <f t="shared" ref="P30:R34" si="21">+O30*1.04</f>
        <v>1297.92</v>
      </c>
      <c r="Q30" s="64">
        <f t="shared" si="21"/>
        <v>1349.8368</v>
      </c>
      <c r="R30" s="64">
        <f t="shared" si="21"/>
        <v>1403.8302720000002</v>
      </c>
      <c r="S30" s="3" t="s">
        <v>109</v>
      </c>
    </row>
    <row r="31" spans="1:20" x14ac:dyDescent="0.2">
      <c r="A31" s="3" t="s">
        <v>44</v>
      </c>
      <c r="B31" s="154" t="s">
        <v>69</v>
      </c>
      <c r="C31" s="103">
        <v>900</v>
      </c>
      <c r="D31" s="103">
        <v>1400</v>
      </c>
      <c r="E31" s="103">
        <v>900</v>
      </c>
      <c r="F31" s="103">
        <v>900</v>
      </c>
      <c r="G31" s="24">
        <v>750</v>
      </c>
      <c r="H31" s="24">
        <f t="shared" ca="1" si="12"/>
        <v>-750</v>
      </c>
      <c r="I31" s="24">
        <f t="shared" ca="1" si="10"/>
        <v>0</v>
      </c>
      <c r="J31" s="24">
        <v>900</v>
      </c>
      <c r="K31" s="24">
        <f t="shared" ca="1" si="14"/>
        <v>900</v>
      </c>
      <c r="L31" s="64">
        <f>75*12</f>
        <v>900</v>
      </c>
      <c r="M31" s="149">
        <v>900</v>
      </c>
      <c r="N31" s="149">
        <f t="shared" si="15"/>
        <v>900</v>
      </c>
      <c r="O31" s="64">
        <f>+M31*1.04</f>
        <v>936</v>
      </c>
      <c r="P31" s="64">
        <f t="shared" si="21"/>
        <v>973.44</v>
      </c>
      <c r="Q31" s="64">
        <f t="shared" si="21"/>
        <v>1012.3776000000001</v>
      </c>
      <c r="R31" s="64">
        <f t="shared" si="21"/>
        <v>1052.8727040000001</v>
      </c>
      <c r="S31" s="3" t="s">
        <v>140</v>
      </c>
    </row>
    <row r="32" spans="1:20" x14ac:dyDescent="0.2">
      <c r="A32" s="3" t="s">
        <v>47</v>
      </c>
      <c r="B32" s="154" t="s">
        <v>63</v>
      </c>
      <c r="C32" s="103">
        <v>3992</v>
      </c>
      <c r="D32" s="103">
        <v>4100</v>
      </c>
      <c r="E32" s="103">
        <v>4600</v>
      </c>
      <c r="F32" s="103">
        <v>978</v>
      </c>
      <c r="G32" s="24">
        <v>978</v>
      </c>
      <c r="H32" s="24">
        <f t="shared" ca="1" si="12"/>
        <v>-978</v>
      </c>
      <c r="I32" s="24">
        <f ca="1">SUM(G32+H32)</f>
        <v>0</v>
      </c>
      <c r="J32" s="24">
        <v>8000</v>
      </c>
      <c r="K32" s="24">
        <f t="shared" ca="1" si="14"/>
        <v>8000</v>
      </c>
      <c r="L32" s="64">
        <v>8000</v>
      </c>
      <c r="M32" s="149">
        <v>2000</v>
      </c>
      <c r="N32" s="149">
        <f t="shared" si="15"/>
        <v>2000</v>
      </c>
      <c r="O32" s="64">
        <f>+M32*1.04</f>
        <v>2080</v>
      </c>
      <c r="P32" s="64">
        <f t="shared" si="21"/>
        <v>2163.2000000000003</v>
      </c>
      <c r="Q32" s="64">
        <f t="shared" si="21"/>
        <v>2249.7280000000005</v>
      </c>
      <c r="R32" s="64">
        <f t="shared" si="21"/>
        <v>2339.7171200000007</v>
      </c>
      <c r="S32" s="3" t="s">
        <v>111</v>
      </c>
    </row>
    <row r="33" spans="1:20" x14ac:dyDescent="0.2">
      <c r="A33" s="3" t="s">
        <v>70</v>
      </c>
      <c r="B33" s="154" t="s">
        <v>71</v>
      </c>
      <c r="C33" s="103">
        <v>105</v>
      </c>
      <c r="D33" s="103">
        <v>1295</v>
      </c>
      <c r="E33" s="103">
        <v>735</v>
      </c>
      <c r="F33" s="103">
        <v>210</v>
      </c>
      <c r="G33" s="24">
        <v>210</v>
      </c>
      <c r="H33" s="24">
        <f t="shared" ca="1" si="12"/>
        <v>-210</v>
      </c>
      <c r="I33" s="24">
        <f t="shared" ca="1" si="10"/>
        <v>0</v>
      </c>
      <c r="J33" s="24">
        <v>0</v>
      </c>
      <c r="K33" s="24">
        <f t="shared" ca="1" si="14"/>
        <v>0</v>
      </c>
      <c r="L33" s="64">
        <v>0</v>
      </c>
      <c r="M33" s="149">
        <v>0</v>
      </c>
      <c r="N33" s="149">
        <f t="shared" si="15"/>
        <v>0</v>
      </c>
      <c r="O33" s="64">
        <v>0</v>
      </c>
      <c r="P33" s="64">
        <v>0</v>
      </c>
      <c r="Q33" s="64">
        <v>0</v>
      </c>
      <c r="R33" s="64">
        <v>0</v>
      </c>
      <c r="S33" s="12" t="s">
        <v>113</v>
      </c>
    </row>
    <row r="34" spans="1:20" x14ac:dyDescent="0.2">
      <c r="A34" s="3" t="s">
        <v>80</v>
      </c>
      <c r="B34" s="154" t="s">
        <v>81</v>
      </c>
      <c r="C34" s="103">
        <v>0</v>
      </c>
      <c r="D34" s="103">
        <v>1437</v>
      </c>
      <c r="E34" s="103">
        <v>1998</v>
      </c>
      <c r="F34" s="103">
        <v>4846</v>
      </c>
      <c r="G34" s="24">
        <v>4653</v>
      </c>
      <c r="H34" s="24">
        <f t="shared" ca="1" si="12"/>
        <v>-4652</v>
      </c>
      <c r="I34" s="24">
        <f t="shared" ca="1" si="10"/>
        <v>1</v>
      </c>
      <c r="J34" s="24">
        <v>1300</v>
      </c>
      <c r="K34" s="24">
        <f t="shared" ca="1" si="14"/>
        <v>1299</v>
      </c>
      <c r="L34" s="64">
        <v>1300</v>
      </c>
      <c r="M34" s="149">
        <v>7000</v>
      </c>
      <c r="N34" s="149">
        <f t="shared" si="15"/>
        <v>7000</v>
      </c>
      <c r="O34" s="64">
        <f>+M34*1.04</f>
        <v>7280</v>
      </c>
      <c r="P34" s="64">
        <f t="shared" si="21"/>
        <v>7571.2</v>
      </c>
      <c r="Q34" s="64">
        <f t="shared" si="21"/>
        <v>7874.0479999999998</v>
      </c>
      <c r="R34" s="64">
        <f t="shared" si="21"/>
        <v>8189.0099200000004</v>
      </c>
      <c r="S34" s="12"/>
    </row>
    <row r="35" spans="1:20" ht="15" x14ac:dyDescent="0.35">
      <c r="A35" s="3" t="s">
        <v>49</v>
      </c>
      <c r="B35" s="154" t="s">
        <v>56</v>
      </c>
      <c r="C35" s="170">
        <v>215</v>
      </c>
      <c r="D35" s="170">
        <v>365</v>
      </c>
      <c r="E35" s="170">
        <v>125</v>
      </c>
      <c r="F35" s="170">
        <v>457</v>
      </c>
      <c r="G35" s="61">
        <v>457</v>
      </c>
      <c r="H35" s="61">
        <f t="shared" ca="1" si="12"/>
        <v>-457</v>
      </c>
      <c r="I35" s="61">
        <f ca="1">SUM(G35+H35)</f>
        <v>0</v>
      </c>
      <c r="J35" s="61">
        <v>100</v>
      </c>
      <c r="K35" s="61">
        <f t="shared" ca="1" si="14"/>
        <v>100</v>
      </c>
      <c r="L35" s="97">
        <v>100</v>
      </c>
      <c r="M35" s="173">
        <v>600</v>
      </c>
      <c r="N35" s="173">
        <v>600</v>
      </c>
      <c r="O35" s="97">
        <v>600</v>
      </c>
      <c r="P35" s="97">
        <v>600</v>
      </c>
      <c r="Q35" s="97">
        <v>600</v>
      </c>
      <c r="R35" s="97">
        <v>600</v>
      </c>
      <c r="S35" s="11" t="s">
        <v>141</v>
      </c>
      <c r="T35" s="3"/>
    </row>
    <row r="36" spans="1:20" s="5" customFormat="1" ht="11.25" x14ac:dyDescent="0.2">
      <c r="B36" s="150" t="s">
        <v>14</v>
      </c>
      <c r="C36" s="93">
        <f t="shared" ref="C36:E36" si="22">SUM(C19:C35)</f>
        <v>324739</v>
      </c>
      <c r="D36" s="93">
        <f t="shared" si="22"/>
        <v>352064</v>
      </c>
      <c r="E36" s="180">
        <f t="shared" si="22"/>
        <v>294506</v>
      </c>
      <c r="F36" s="180">
        <f t="shared" ref="F36" si="23">SUM(F19:F35)</f>
        <v>286489</v>
      </c>
      <c r="G36" s="22">
        <f>SUM(G19:G35)</f>
        <v>239234</v>
      </c>
      <c r="H36" s="161">
        <f ca="1">SUM(H19:H35)</f>
        <v>-239168</v>
      </c>
      <c r="I36" s="22">
        <f ca="1">SUM(I19:I35)</f>
        <v>66</v>
      </c>
      <c r="J36" s="22">
        <v>303298</v>
      </c>
      <c r="K36" s="22">
        <f ca="1">SUM(K19:K35)</f>
        <v>303232</v>
      </c>
      <c r="L36" s="74">
        <f>SUM(L19:L35)</f>
        <v>303298</v>
      </c>
      <c r="M36" s="93">
        <f t="shared" ref="M36:R36" si="24">SUM(M19:M35)</f>
        <v>309270</v>
      </c>
      <c r="N36" s="93">
        <f t="shared" ref="N36" si="25">SUM(N19:N35)</f>
        <v>318943.5</v>
      </c>
      <c r="O36" s="88">
        <f t="shared" si="24"/>
        <v>324158.32</v>
      </c>
      <c r="P36" s="88">
        <f t="shared" si="24"/>
        <v>334820.66960000002</v>
      </c>
      <c r="Q36" s="88">
        <f t="shared" si="24"/>
        <v>345843.033688</v>
      </c>
      <c r="R36" s="88">
        <f t="shared" si="24"/>
        <v>357237.81845863996</v>
      </c>
      <c r="S36" s="12"/>
    </row>
    <row r="37" spans="1:20" s="5" customFormat="1" ht="11.25" x14ac:dyDescent="0.2">
      <c r="B37" s="150"/>
      <c r="C37" s="175"/>
      <c r="D37" s="175"/>
      <c r="E37" s="175"/>
      <c r="F37" s="175"/>
      <c r="G37" s="63"/>
      <c r="H37" s="63"/>
      <c r="I37" s="63"/>
      <c r="J37" s="21"/>
      <c r="K37" s="21"/>
      <c r="L37" s="100"/>
      <c r="M37" s="174"/>
      <c r="N37" s="174"/>
      <c r="O37" s="100"/>
      <c r="P37" s="100"/>
      <c r="Q37" s="100"/>
      <c r="R37" s="100"/>
      <c r="S37" s="14"/>
    </row>
    <row r="38" spans="1:20" s="5" customFormat="1" ht="11.25" x14ac:dyDescent="0.2">
      <c r="B38" s="153" t="s">
        <v>82</v>
      </c>
      <c r="C38" s="181"/>
      <c r="D38" s="181"/>
      <c r="E38" s="181"/>
      <c r="F38" s="181"/>
      <c r="G38" s="63"/>
      <c r="H38" s="63"/>
      <c r="I38" s="63"/>
      <c r="J38" s="21"/>
      <c r="K38" s="21"/>
      <c r="L38" s="100"/>
      <c r="M38" s="174"/>
      <c r="N38" s="174"/>
      <c r="O38" s="100"/>
      <c r="P38" s="100"/>
      <c r="Q38" s="100"/>
      <c r="R38" s="100"/>
      <c r="S38" s="14"/>
    </row>
    <row r="39" spans="1:20" x14ac:dyDescent="0.2">
      <c r="A39" s="3" t="s">
        <v>34</v>
      </c>
      <c r="B39" s="154" t="s">
        <v>84</v>
      </c>
      <c r="C39" s="92">
        <v>508053</v>
      </c>
      <c r="D39" s="92">
        <v>512172</v>
      </c>
      <c r="E39" s="92">
        <v>543803</v>
      </c>
      <c r="F39" s="92">
        <v>531749</v>
      </c>
      <c r="G39" s="22">
        <v>440682</v>
      </c>
      <c r="H39" s="161">
        <f ca="1">ROUND(((G39/$A$1)*(12-$A$1)),0)</f>
        <v>-440558</v>
      </c>
      <c r="I39" s="22">
        <f t="shared" ref="I39:I44" ca="1" si="26">SUM(G39+H39)</f>
        <v>124</v>
      </c>
      <c r="J39" s="22">
        <v>540427</v>
      </c>
      <c r="K39" s="22">
        <f t="shared" ref="K39:K44" ca="1" si="27">SUM(J39-I39)</f>
        <v>540303</v>
      </c>
      <c r="L39" s="74">
        <v>540427</v>
      </c>
      <c r="M39" s="167">
        <v>551851</v>
      </c>
      <c r="N39" s="167">
        <f>+M39</f>
        <v>551851</v>
      </c>
      <c r="O39" s="74">
        <f>+M39*1.03</f>
        <v>568406.53</v>
      </c>
      <c r="P39" s="74">
        <f t="shared" ref="P39:R39" si="28">+O39*1.03</f>
        <v>585458.72590000008</v>
      </c>
      <c r="Q39" s="74">
        <f t="shared" si="28"/>
        <v>603022.48767700011</v>
      </c>
      <c r="R39" s="74">
        <f t="shared" si="28"/>
        <v>621113.16230731015</v>
      </c>
      <c r="S39" s="137" t="s">
        <v>334</v>
      </c>
      <c r="T39" s="183" t="s">
        <v>337</v>
      </c>
    </row>
    <row r="40" spans="1:20" x14ac:dyDescent="0.2">
      <c r="A40" s="3" t="s">
        <v>36</v>
      </c>
      <c r="B40" s="154" t="s">
        <v>83</v>
      </c>
      <c r="C40" s="103">
        <v>18608</v>
      </c>
      <c r="D40" s="103">
        <v>19318</v>
      </c>
      <c r="E40" s="103">
        <v>17698</v>
      </c>
      <c r="F40" s="103">
        <v>19530</v>
      </c>
      <c r="G40" s="24">
        <v>16020</v>
      </c>
      <c r="H40" s="24">
        <f t="shared" ref="H40:H59" ca="1" si="29">ROUND(((G40/$A$1)*(12-$A$1)),0)</f>
        <v>-16016</v>
      </c>
      <c r="I40" s="24">
        <f t="shared" ca="1" si="26"/>
        <v>4</v>
      </c>
      <c r="J40" s="24">
        <v>20475</v>
      </c>
      <c r="K40" s="24">
        <f t="shared" ca="1" si="27"/>
        <v>20471</v>
      </c>
      <c r="L40" s="64">
        <f>19500*1.05</f>
        <v>20475</v>
      </c>
      <c r="M40" s="149">
        <v>21000</v>
      </c>
      <c r="N40" s="149">
        <f>+M40</f>
        <v>21000</v>
      </c>
      <c r="O40" s="64">
        <f>+M40*1.05</f>
        <v>22050</v>
      </c>
      <c r="P40" s="64">
        <f t="shared" ref="P40:R40" si="30">+O40*1.05</f>
        <v>23152.5</v>
      </c>
      <c r="Q40" s="64">
        <f t="shared" si="30"/>
        <v>24310.125</v>
      </c>
      <c r="R40" s="64">
        <f t="shared" si="30"/>
        <v>25525.631250000002</v>
      </c>
      <c r="S40" s="107">
        <v>0.05</v>
      </c>
      <c r="T40" s="17"/>
    </row>
    <row r="41" spans="1:20" x14ac:dyDescent="0.2">
      <c r="A41" s="3" t="s">
        <v>31</v>
      </c>
      <c r="B41" s="154" t="s">
        <v>85</v>
      </c>
      <c r="C41" s="103">
        <v>0</v>
      </c>
      <c r="D41" s="103">
        <v>10483</v>
      </c>
      <c r="E41" s="103">
        <v>11900</v>
      </c>
      <c r="F41" s="103">
        <v>12813</v>
      </c>
      <c r="G41" s="24">
        <v>12813</v>
      </c>
      <c r="H41" s="24">
        <f t="shared" ca="1" si="29"/>
        <v>-12809</v>
      </c>
      <c r="I41" s="24">
        <f t="shared" ca="1" si="26"/>
        <v>4</v>
      </c>
      <c r="J41" s="24">
        <v>12000</v>
      </c>
      <c r="K41" s="24">
        <f t="shared" ca="1" si="27"/>
        <v>11996</v>
      </c>
      <c r="L41" s="64">
        <v>12000</v>
      </c>
      <c r="M41" s="149">
        <v>15000</v>
      </c>
      <c r="N41" s="149">
        <f t="shared" ref="N41:N58" si="31">+M41</f>
        <v>15000</v>
      </c>
      <c r="O41" s="64">
        <v>12000</v>
      </c>
      <c r="P41" s="64">
        <v>12000</v>
      </c>
      <c r="Q41" s="64">
        <v>12000</v>
      </c>
      <c r="R41" s="64">
        <v>12000</v>
      </c>
      <c r="S41" s="12"/>
      <c r="T41" s="3"/>
    </row>
    <row r="42" spans="1:20" x14ac:dyDescent="0.2">
      <c r="A42" s="3" t="s">
        <v>32</v>
      </c>
      <c r="B42" s="154" t="s">
        <v>86</v>
      </c>
      <c r="C42" s="103">
        <v>7874</v>
      </c>
      <c r="D42" s="103">
        <v>8083</v>
      </c>
      <c r="E42" s="103">
        <v>9076</v>
      </c>
      <c r="F42" s="103">
        <v>9575</v>
      </c>
      <c r="G42" s="24">
        <v>7968</v>
      </c>
      <c r="H42" s="24">
        <f t="shared" ca="1" si="29"/>
        <v>-7966</v>
      </c>
      <c r="I42" s="24">
        <f t="shared" ca="1" si="26"/>
        <v>2</v>
      </c>
      <c r="J42" s="24">
        <v>8591</v>
      </c>
      <c r="K42" s="24">
        <f t="shared" ca="1" si="27"/>
        <v>8589</v>
      </c>
      <c r="L42" s="64">
        <f>7810*1.1</f>
        <v>8591</v>
      </c>
      <c r="M42" s="149">
        <v>10000</v>
      </c>
      <c r="N42" s="149">
        <f t="shared" si="31"/>
        <v>10000</v>
      </c>
      <c r="O42" s="64">
        <f t="shared" ref="O42:O59" si="32">+M42*(1+$S$42)</f>
        <v>10300</v>
      </c>
      <c r="P42" s="64">
        <f t="shared" ref="P42:R42" si="33">+O42*(1+$S$42)</f>
        <v>10609</v>
      </c>
      <c r="Q42" s="64">
        <f t="shared" si="33"/>
        <v>10927.27</v>
      </c>
      <c r="R42" s="64">
        <f t="shared" si="33"/>
        <v>11255.088100000001</v>
      </c>
      <c r="S42" s="136">
        <v>0.03</v>
      </c>
    </row>
    <row r="43" spans="1:20" x14ac:dyDescent="0.2">
      <c r="A43" s="3" t="s">
        <v>30</v>
      </c>
      <c r="B43" s="154" t="s">
        <v>87</v>
      </c>
      <c r="C43" s="103">
        <v>6647</v>
      </c>
      <c r="D43" s="103">
        <v>14084</v>
      </c>
      <c r="E43" s="103">
        <v>13796</v>
      </c>
      <c r="F43" s="103">
        <v>27892</v>
      </c>
      <c r="G43" s="24">
        <v>25836</v>
      </c>
      <c r="H43" s="24">
        <f t="shared" ca="1" si="29"/>
        <v>-25829</v>
      </c>
      <c r="I43" s="24">
        <f t="shared" ca="1" si="26"/>
        <v>7</v>
      </c>
      <c r="J43" s="24">
        <v>18000</v>
      </c>
      <c r="K43" s="24">
        <f t="shared" ca="1" si="27"/>
        <v>17993</v>
      </c>
      <c r="L43" s="64">
        <v>18000</v>
      </c>
      <c r="M43" s="149">
        <v>35000</v>
      </c>
      <c r="N43" s="149">
        <f t="shared" si="31"/>
        <v>35000</v>
      </c>
      <c r="O43" s="64">
        <f t="shared" si="32"/>
        <v>36050</v>
      </c>
      <c r="P43" s="64">
        <f t="shared" ref="P43:R59" si="34">+O43*(1+$S$42)</f>
        <v>37131.5</v>
      </c>
      <c r="Q43" s="64">
        <f t="shared" si="34"/>
        <v>38245.445</v>
      </c>
      <c r="R43" s="64">
        <f t="shared" si="34"/>
        <v>39392.808349999999</v>
      </c>
      <c r="S43" s="108">
        <f>+$S$42</f>
        <v>0.03</v>
      </c>
    </row>
    <row r="44" spans="1:20" x14ac:dyDescent="0.2">
      <c r="A44" s="3" t="s">
        <v>29</v>
      </c>
      <c r="B44" s="154" t="s">
        <v>88</v>
      </c>
      <c r="C44" s="103">
        <v>1524</v>
      </c>
      <c r="D44" s="103">
        <v>0</v>
      </c>
      <c r="E44" s="103">
        <v>3661</v>
      </c>
      <c r="F44" s="103">
        <v>4438</v>
      </c>
      <c r="G44" s="24">
        <v>4438</v>
      </c>
      <c r="H44" s="24">
        <f t="shared" ca="1" si="29"/>
        <v>-4437</v>
      </c>
      <c r="I44" s="24">
        <f t="shared" ca="1" si="26"/>
        <v>1</v>
      </c>
      <c r="J44" s="24">
        <v>5000</v>
      </c>
      <c r="K44" s="24">
        <f t="shared" ca="1" si="27"/>
        <v>4999</v>
      </c>
      <c r="L44" s="64">
        <v>5000</v>
      </c>
      <c r="M44" s="149">
        <v>7000</v>
      </c>
      <c r="N44" s="149">
        <f t="shared" si="31"/>
        <v>7000</v>
      </c>
      <c r="O44" s="64">
        <f t="shared" si="32"/>
        <v>7210</v>
      </c>
      <c r="P44" s="64">
        <f t="shared" si="34"/>
        <v>7426.3</v>
      </c>
      <c r="Q44" s="64">
        <f t="shared" si="34"/>
        <v>7649.0889999999999</v>
      </c>
      <c r="R44" s="64">
        <f t="shared" si="34"/>
        <v>7878.56167</v>
      </c>
      <c r="S44" s="108">
        <f t="shared" ref="S44:S59" si="35">+$S$42</f>
        <v>0.03</v>
      </c>
      <c r="T44" s="3"/>
    </row>
    <row r="45" spans="1:20" x14ac:dyDescent="0.2">
      <c r="A45" s="3" t="s">
        <v>35</v>
      </c>
      <c r="B45" s="154" t="s">
        <v>72</v>
      </c>
      <c r="C45" s="103">
        <v>750</v>
      </c>
      <c r="D45" s="103">
        <v>0</v>
      </c>
      <c r="E45" s="103">
        <v>2819</v>
      </c>
      <c r="F45" s="103">
        <v>302</v>
      </c>
      <c r="G45" s="24">
        <v>3880</v>
      </c>
      <c r="H45" s="24">
        <f t="shared" ca="1" si="29"/>
        <v>-3879</v>
      </c>
      <c r="I45" s="24">
        <f ca="1">SUM(G45+H45)</f>
        <v>1</v>
      </c>
      <c r="J45" s="24">
        <v>1000</v>
      </c>
      <c r="K45" s="24">
        <f ca="1">SUM(J45-I45)</f>
        <v>999</v>
      </c>
      <c r="L45" s="64">
        <f>+J45</f>
        <v>1000</v>
      </c>
      <c r="M45" s="149">
        <v>1000</v>
      </c>
      <c r="N45" s="149">
        <f t="shared" si="31"/>
        <v>1000</v>
      </c>
      <c r="O45" s="64">
        <f t="shared" si="32"/>
        <v>1030</v>
      </c>
      <c r="P45" s="64">
        <f t="shared" si="34"/>
        <v>1060.9000000000001</v>
      </c>
      <c r="Q45" s="64">
        <f t="shared" si="34"/>
        <v>1092.7270000000001</v>
      </c>
      <c r="R45" s="64">
        <f t="shared" si="34"/>
        <v>1125.50881</v>
      </c>
      <c r="S45" s="108">
        <f t="shared" si="35"/>
        <v>0.03</v>
      </c>
      <c r="T45" s="3"/>
    </row>
    <row r="46" spans="1:20" x14ac:dyDescent="0.2">
      <c r="A46" s="3" t="s">
        <v>23</v>
      </c>
      <c r="B46" s="156" t="s">
        <v>10</v>
      </c>
      <c r="C46" s="105">
        <v>12228</v>
      </c>
      <c r="D46" s="105">
        <v>15833</v>
      </c>
      <c r="E46" s="105">
        <v>16540</v>
      </c>
      <c r="F46" s="105">
        <v>16629</v>
      </c>
      <c r="G46" s="24">
        <v>13939</v>
      </c>
      <c r="H46" s="24">
        <f t="shared" ca="1" si="29"/>
        <v>-13935</v>
      </c>
      <c r="I46" s="24">
        <f t="shared" ref="I46:I59" ca="1" si="36">SUM(G46+H46)</f>
        <v>4</v>
      </c>
      <c r="J46" s="24">
        <v>17000</v>
      </c>
      <c r="K46" s="24">
        <f t="shared" ref="K46:K59" ca="1" si="37">SUM(J46-I46)</f>
        <v>16996</v>
      </c>
      <c r="L46" s="64">
        <v>17000</v>
      </c>
      <c r="M46" s="149">
        <v>17000</v>
      </c>
      <c r="N46" s="149">
        <f t="shared" si="31"/>
        <v>17000</v>
      </c>
      <c r="O46" s="64">
        <f t="shared" si="32"/>
        <v>17510</v>
      </c>
      <c r="P46" s="64">
        <f t="shared" si="34"/>
        <v>18035.3</v>
      </c>
      <c r="Q46" s="64">
        <f t="shared" si="34"/>
        <v>18576.359</v>
      </c>
      <c r="R46" s="64">
        <f t="shared" si="34"/>
        <v>19133.64977</v>
      </c>
      <c r="S46" s="108">
        <f t="shared" si="35"/>
        <v>0.03</v>
      </c>
      <c r="T46" s="3"/>
    </row>
    <row r="47" spans="1:20" x14ac:dyDescent="0.2">
      <c r="A47" s="3" t="s">
        <v>261</v>
      </c>
      <c r="B47" s="156" t="s">
        <v>262</v>
      </c>
      <c r="C47" s="105">
        <v>4862</v>
      </c>
      <c r="D47" s="105">
        <v>0</v>
      </c>
      <c r="E47" s="105">
        <v>0</v>
      </c>
      <c r="F47" s="105">
        <v>0</v>
      </c>
      <c r="G47" s="24">
        <v>0</v>
      </c>
      <c r="H47" s="24">
        <f t="shared" ca="1" si="29"/>
        <v>0</v>
      </c>
      <c r="I47" s="24">
        <f t="shared" ref="I47" ca="1" si="38">SUM(G47+H47)</f>
        <v>0</v>
      </c>
      <c r="J47" s="24">
        <v>0</v>
      </c>
      <c r="K47" s="24">
        <f t="shared" ref="K47" ca="1" si="39">SUM(J47-I47)</f>
        <v>0</v>
      </c>
      <c r="L47" s="64">
        <v>0</v>
      </c>
      <c r="M47" s="149">
        <f t="shared" ref="M47" si="40">+L47*1.04</f>
        <v>0</v>
      </c>
      <c r="N47" s="149">
        <f t="shared" si="31"/>
        <v>0</v>
      </c>
      <c r="O47" s="64">
        <f t="shared" si="32"/>
        <v>0</v>
      </c>
      <c r="P47" s="64">
        <f t="shared" si="34"/>
        <v>0</v>
      </c>
      <c r="Q47" s="64">
        <f t="shared" si="34"/>
        <v>0</v>
      </c>
      <c r="R47" s="64">
        <f t="shared" si="34"/>
        <v>0</v>
      </c>
      <c r="S47" s="108">
        <f t="shared" si="35"/>
        <v>0.03</v>
      </c>
      <c r="T47" s="3"/>
    </row>
    <row r="48" spans="1:20" x14ac:dyDescent="0.2">
      <c r="A48" s="3" t="s">
        <v>27</v>
      </c>
      <c r="B48" s="154" t="s">
        <v>11</v>
      </c>
      <c r="C48" s="103">
        <v>9759</v>
      </c>
      <c r="D48" s="103">
        <v>7393</v>
      </c>
      <c r="E48" s="103">
        <v>7591</v>
      </c>
      <c r="F48" s="103">
        <v>18191</v>
      </c>
      <c r="G48" s="24">
        <v>8110</v>
      </c>
      <c r="H48" s="24">
        <f t="shared" ca="1" si="29"/>
        <v>-8108</v>
      </c>
      <c r="I48" s="24">
        <f ca="1">SUM(G48+H48)</f>
        <v>2</v>
      </c>
      <c r="J48" s="24">
        <v>7000</v>
      </c>
      <c r="K48" s="24">
        <f ca="1">SUM(J48-I48)</f>
        <v>6998</v>
      </c>
      <c r="L48" s="64">
        <v>7000</v>
      </c>
      <c r="M48" s="149">
        <v>7000</v>
      </c>
      <c r="N48" s="149">
        <f t="shared" si="31"/>
        <v>7000</v>
      </c>
      <c r="O48" s="64">
        <f t="shared" si="32"/>
        <v>7210</v>
      </c>
      <c r="P48" s="64">
        <f t="shared" si="34"/>
        <v>7426.3</v>
      </c>
      <c r="Q48" s="64">
        <f t="shared" si="34"/>
        <v>7649.0889999999999</v>
      </c>
      <c r="R48" s="64">
        <f t="shared" si="34"/>
        <v>7878.56167</v>
      </c>
      <c r="S48" s="108">
        <f t="shared" si="35"/>
        <v>0.03</v>
      </c>
      <c r="T48" s="3"/>
    </row>
    <row r="49" spans="1:20" x14ac:dyDescent="0.2">
      <c r="A49" s="3" t="s">
        <v>33</v>
      </c>
      <c r="B49" s="154" t="s">
        <v>89</v>
      </c>
      <c r="C49" s="103">
        <v>3831</v>
      </c>
      <c r="D49" s="103">
        <v>2686</v>
      </c>
      <c r="E49" s="103">
        <v>3159</v>
      </c>
      <c r="F49" s="103">
        <v>10573</v>
      </c>
      <c r="G49" s="24">
        <v>10305</v>
      </c>
      <c r="H49" s="24">
        <f t="shared" ca="1" si="29"/>
        <v>-10302</v>
      </c>
      <c r="I49" s="24">
        <f ca="1">SUM(G49+H49)</f>
        <v>3</v>
      </c>
      <c r="J49" s="24">
        <v>3000</v>
      </c>
      <c r="K49" s="24">
        <f ca="1">SUM(J49-I49)</f>
        <v>2997</v>
      </c>
      <c r="L49" s="64">
        <v>3000</v>
      </c>
      <c r="M49" s="149">
        <v>14000</v>
      </c>
      <c r="N49" s="149">
        <f t="shared" si="31"/>
        <v>14000</v>
      </c>
      <c r="O49" s="64">
        <f t="shared" si="32"/>
        <v>14420</v>
      </c>
      <c r="P49" s="64">
        <f t="shared" si="34"/>
        <v>14852.6</v>
      </c>
      <c r="Q49" s="64">
        <f t="shared" si="34"/>
        <v>15298.178</v>
      </c>
      <c r="R49" s="64">
        <f t="shared" si="34"/>
        <v>15757.12334</v>
      </c>
      <c r="S49" s="108">
        <f t="shared" si="35"/>
        <v>0.03</v>
      </c>
    </row>
    <row r="50" spans="1:20" x14ac:dyDescent="0.2">
      <c r="A50" s="3" t="s">
        <v>25</v>
      </c>
      <c r="B50" s="154" t="s">
        <v>68</v>
      </c>
      <c r="C50" s="103">
        <v>21582</v>
      </c>
      <c r="D50" s="103">
        <v>6114</v>
      </c>
      <c r="E50" s="103">
        <v>8874</v>
      </c>
      <c r="F50" s="103">
        <v>17702</v>
      </c>
      <c r="G50" s="24">
        <v>17702</v>
      </c>
      <c r="H50" s="24">
        <f t="shared" ca="1" si="29"/>
        <v>-17697</v>
      </c>
      <c r="I50" s="24">
        <f t="shared" ca="1" si="36"/>
        <v>5</v>
      </c>
      <c r="J50" s="24">
        <v>20000</v>
      </c>
      <c r="K50" s="24">
        <f t="shared" ca="1" si="37"/>
        <v>19995</v>
      </c>
      <c r="L50" s="64">
        <v>20000</v>
      </c>
      <c r="M50" s="149">
        <v>25000</v>
      </c>
      <c r="N50" s="149">
        <f t="shared" si="31"/>
        <v>25000</v>
      </c>
      <c r="O50" s="64">
        <f t="shared" si="32"/>
        <v>25750</v>
      </c>
      <c r="P50" s="64">
        <f t="shared" si="34"/>
        <v>26522.5</v>
      </c>
      <c r="Q50" s="64">
        <f t="shared" si="34"/>
        <v>27318.174999999999</v>
      </c>
      <c r="R50" s="64">
        <f t="shared" si="34"/>
        <v>28137.720249999998</v>
      </c>
      <c r="S50" s="108">
        <f t="shared" si="35"/>
        <v>0.03</v>
      </c>
      <c r="T50" s="35" t="s">
        <v>323</v>
      </c>
    </row>
    <row r="51" spans="1:20" x14ac:dyDescent="0.2">
      <c r="A51" s="3" t="s">
        <v>26</v>
      </c>
      <c r="B51" s="154" t="s">
        <v>57</v>
      </c>
      <c r="C51" s="103">
        <v>2582</v>
      </c>
      <c r="D51" s="103">
        <v>5770</v>
      </c>
      <c r="E51" s="103">
        <v>789</v>
      </c>
      <c r="F51" s="103">
        <v>4314</v>
      </c>
      <c r="G51" s="24">
        <v>4314</v>
      </c>
      <c r="H51" s="24">
        <f t="shared" ca="1" si="29"/>
        <v>-4313</v>
      </c>
      <c r="I51" s="24">
        <f t="shared" ca="1" si="36"/>
        <v>1</v>
      </c>
      <c r="J51" s="24">
        <v>5000</v>
      </c>
      <c r="K51" s="24">
        <f t="shared" ca="1" si="37"/>
        <v>4999</v>
      </c>
      <c r="L51" s="64">
        <v>5000</v>
      </c>
      <c r="M51" s="149">
        <v>6000</v>
      </c>
      <c r="N51" s="149">
        <f t="shared" si="31"/>
        <v>6000</v>
      </c>
      <c r="O51" s="64">
        <f t="shared" si="32"/>
        <v>6180</v>
      </c>
      <c r="P51" s="64">
        <f t="shared" si="34"/>
        <v>6365.4000000000005</v>
      </c>
      <c r="Q51" s="64">
        <f t="shared" si="34"/>
        <v>6556.362000000001</v>
      </c>
      <c r="R51" s="64">
        <f t="shared" si="34"/>
        <v>6753.0528600000016</v>
      </c>
      <c r="S51" s="108">
        <f t="shared" si="35"/>
        <v>0.03</v>
      </c>
      <c r="T51" s="3"/>
    </row>
    <row r="52" spans="1:20" x14ac:dyDescent="0.2">
      <c r="A52" s="6">
        <v>8110.0230000000001</v>
      </c>
      <c r="B52" s="154" t="s">
        <v>59</v>
      </c>
      <c r="C52" s="103">
        <v>86</v>
      </c>
      <c r="D52" s="103">
        <v>14497</v>
      </c>
      <c r="E52" s="103">
        <v>52838</v>
      </c>
      <c r="F52" s="103">
        <v>238612</v>
      </c>
      <c r="G52" s="24">
        <v>229763</v>
      </c>
      <c r="H52" s="24">
        <f t="shared" ca="1" si="29"/>
        <v>-229699</v>
      </c>
      <c r="I52" s="24">
        <f ca="1">SUM(G52+H52)</f>
        <v>64</v>
      </c>
      <c r="J52" s="24">
        <v>96000</v>
      </c>
      <c r="K52" s="24">
        <f t="shared" ca="1" si="37"/>
        <v>95936</v>
      </c>
      <c r="L52" s="64">
        <v>96000</v>
      </c>
      <c r="M52" s="149">
        <v>150000</v>
      </c>
      <c r="N52" s="149">
        <f t="shared" si="31"/>
        <v>150000</v>
      </c>
      <c r="O52" s="64">
        <f t="shared" si="32"/>
        <v>154500</v>
      </c>
      <c r="P52" s="64">
        <f t="shared" si="34"/>
        <v>159135</v>
      </c>
      <c r="Q52" s="64">
        <f t="shared" si="34"/>
        <v>163909.05000000002</v>
      </c>
      <c r="R52" s="64">
        <f t="shared" si="34"/>
        <v>168826.32150000002</v>
      </c>
      <c r="S52" s="108">
        <f t="shared" si="35"/>
        <v>0.03</v>
      </c>
      <c r="T52" s="3" t="s">
        <v>335</v>
      </c>
    </row>
    <row r="53" spans="1:20" x14ac:dyDescent="0.2">
      <c r="A53" s="3" t="s">
        <v>37</v>
      </c>
      <c r="B53" s="154" t="s">
        <v>90</v>
      </c>
      <c r="C53" s="103">
        <v>172508</v>
      </c>
      <c r="D53" s="103">
        <v>175107</v>
      </c>
      <c r="E53" s="103">
        <v>172508</v>
      </c>
      <c r="F53" s="103">
        <v>192031</v>
      </c>
      <c r="G53" s="24">
        <v>160031</v>
      </c>
      <c r="H53" s="24">
        <f t="shared" ca="1" si="29"/>
        <v>-159986</v>
      </c>
      <c r="I53" s="24">
        <f t="shared" ref="I53:I58" ca="1" si="41">SUM(G53+H53)</f>
        <v>45</v>
      </c>
      <c r="J53" s="24">
        <v>183600</v>
      </c>
      <c r="K53" s="24">
        <f ca="1">SUM(J53-I53)</f>
        <v>183555</v>
      </c>
      <c r="L53" s="64">
        <f>15300*12</f>
        <v>183600</v>
      </c>
      <c r="M53" s="149">
        <v>192000</v>
      </c>
      <c r="N53" s="149">
        <f t="shared" si="31"/>
        <v>192000</v>
      </c>
      <c r="O53" s="64">
        <f t="shared" si="32"/>
        <v>197760</v>
      </c>
      <c r="P53" s="64">
        <f t="shared" si="34"/>
        <v>203692.80000000002</v>
      </c>
      <c r="Q53" s="64">
        <f t="shared" si="34"/>
        <v>209803.58400000003</v>
      </c>
      <c r="R53" s="64">
        <f t="shared" si="34"/>
        <v>216097.69152000005</v>
      </c>
      <c r="S53" s="108">
        <f t="shared" si="35"/>
        <v>0.03</v>
      </c>
      <c r="T53" s="188" t="s">
        <v>336</v>
      </c>
    </row>
    <row r="54" spans="1:20" x14ac:dyDescent="0.2">
      <c r="A54" s="3" t="s">
        <v>60</v>
      </c>
      <c r="B54" s="154" t="s">
        <v>91</v>
      </c>
      <c r="C54" s="103">
        <v>11700</v>
      </c>
      <c r="D54" s="103">
        <v>11700</v>
      </c>
      <c r="E54" s="103">
        <v>13645</v>
      </c>
      <c r="F54" s="103">
        <v>12293</v>
      </c>
      <c r="G54" s="24">
        <v>10343</v>
      </c>
      <c r="H54" s="24">
        <f t="shared" ca="1" si="29"/>
        <v>-10340</v>
      </c>
      <c r="I54" s="24">
        <f t="shared" ca="1" si="41"/>
        <v>3</v>
      </c>
      <c r="J54" s="24">
        <v>12051</v>
      </c>
      <c r="K54" s="24">
        <f ca="1">SUM(J54-I54)</f>
        <v>12048</v>
      </c>
      <c r="L54" s="64">
        <f>(975*12)*1.03</f>
        <v>12051</v>
      </c>
      <c r="M54" s="149">
        <v>13000</v>
      </c>
      <c r="N54" s="149">
        <f t="shared" si="31"/>
        <v>13000</v>
      </c>
      <c r="O54" s="64">
        <f t="shared" si="32"/>
        <v>13390</v>
      </c>
      <c r="P54" s="64">
        <f t="shared" si="34"/>
        <v>13791.7</v>
      </c>
      <c r="Q54" s="64">
        <f t="shared" si="34"/>
        <v>14205.451000000001</v>
      </c>
      <c r="R54" s="64">
        <f t="shared" si="34"/>
        <v>14631.614530000001</v>
      </c>
      <c r="S54" s="108">
        <f t="shared" si="35"/>
        <v>0.03</v>
      </c>
      <c r="T54" s="35" t="s">
        <v>252</v>
      </c>
    </row>
    <row r="55" spans="1:20" x14ac:dyDescent="0.2">
      <c r="A55" s="3" t="s">
        <v>58</v>
      </c>
      <c r="B55" s="154" t="s">
        <v>92</v>
      </c>
      <c r="C55" s="103">
        <v>20552</v>
      </c>
      <c r="D55" s="103">
        <v>24939</v>
      </c>
      <c r="E55" s="103">
        <v>36111</v>
      </c>
      <c r="F55" s="103">
        <v>22786</v>
      </c>
      <c r="G55" s="24">
        <v>26326</v>
      </c>
      <c r="H55" s="24">
        <f t="shared" ca="1" si="29"/>
        <v>-26319</v>
      </c>
      <c r="I55" s="24">
        <f t="shared" ca="1" si="41"/>
        <v>7</v>
      </c>
      <c r="J55" s="24">
        <v>40000</v>
      </c>
      <c r="K55" s="24">
        <f t="shared" ref="K55:K58" ca="1" si="42">SUM(J55-I55)</f>
        <v>39993</v>
      </c>
      <c r="L55" s="64">
        <v>40000</v>
      </c>
      <c r="M55" s="149">
        <v>40000</v>
      </c>
      <c r="N55" s="149">
        <f t="shared" si="31"/>
        <v>40000</v>
      </c>
      <c r="O55" s="64">
        <f t="shared" si="32"/>
        <v>41200</v>
      </c>
      <c r="P55" s="64">
        <f t="shared" si="34"/>
        <v>42436</v>
      </c>
      <c r="Q55" s="64">
        <f t="shared" si="34"/>
        <v>43709.08</v>
      </c>
      <c r="R55" s="64">
        <f t="shared" si="34"/>
        <v>45020.352400000003</v>
      </c>
      <c r="S55" s="108">
        <f t="shared" si="35"/>
        <v>0.03</v>
      </c>
      <c r="T55" s="17"/>
    </row>
    <row r="56" spans="1:20" x14ac:dyDescent="0.2">
      <c r="A56" s="3" t="s">
        <v>38</v>
      </c>
      <c r="B56" s="154" t="s">
        <v>93</v>
      </c>
      <c r="C56" s="103">
        <v>18720</v>
      </c>
      <c r="D56" s="103">
        <v>15840</v>
      </c>
      <c r="E56" s="103">
        <v>18864</v>
      </c>
      <c r="F56" s="103">
        <v>17424</v>
      </c>
      <c r="G56" s="24">
        <v>14256</v>
      </c>
      <c r="H56" s="24">
        <f t="shared" ca="1" si="29"/>
        <v>-14252</v>
      </c>
      <c r="I56" s="24">
        <f t="shared" ca="1" si="41"/>
        <v>4</v>
      </c>
      <c r="J56" s="24">
        <v>20165</v>
      </c>
      <c r="K56" s="24">
        <f t="shared" ca="1" si="42"/>
        <v>20161</v>
      </c>
      <c r="L56" s="64">
        <v>20165</v>
      </c>
      <c r="M56" s="149">
        <v>22000</v>
      </c>
      <c r="N56" s="149">
        <f t="shared" si="31"/>
        <v>22000</v>
      </c>
      <c r="O56" s="64">
        <f t="shared" si="32"/>
        <v>22660</v>
      </c>
      <c r="P56" s="64">
        <f t="shared" si="34"/>
        <v>23339.8</v>
      </c>
      <c r="Q56" s="64">
        <f t="shared" si="34"/>
        <v>24039.993999999999</v>
      </c>
      <c r="R56" s="64">
        <f t="shared" si="34"/>
        <v>24761.19382</v>
      </c>
      <c r="S56" s="108">
        <f t="shared" si="35"/>
        <v>0.03</v>
      </c>
    </row>
    <row r="57" spans="1:20" x14ac:dyDescent="0.2">
      <c r="A57" s="3" t="s">
        <v>66</v>
      </c>
      <c r="B57" s="154" t="s">
        <v>94</v>
      </c>
      <c r="C57" s="103">
        <v>1100</v>
      </c>
      <c r="D57" s="103">
        <v>1755</v>
      </c>
      <c r="E57" s="103">
        <v>2544</v>
      </c>
      <c r="F57" s="103">
        <v>2360</v>
      </c>
      <c r="G57" s="24">
        <v>2360</v>
      </c>
      <c r="H57" s="24">
        <f t="shared" ca="1" si="29"/>
        <v>-2359</v>
      </c>
      <c r="I57" s="24">
        <f t="shared" ca="1" si="41"/>
        <v>1</v>
      </c>
      <c r="J57" s="24">
        <v>3270.0000000000005</v>
      </c>
      <c r="K57" s="24">
        <f t="shared" ca="1" si="42"/>
        <v>3269.0000000000005</v>
      </c>
      <c r="L57" s="64">
        <v>3270</v>
      </c>
      <c r="M57" s="149">
        <v>3300</v>
      </c>
      <c r="N57" s="149">
        <f t="shared" si="31"/>
        <v>3300</v>
      </c>
      <c r="O57" s="64">
        <f t="shared" si="32"/>
        <v>3399</v>
      </c>
      <c r="P57" s="64">
        <f t="shared" si="34"/>
        <v>3500.9700000000003</v>
      </c>
      <c r="Q57" s="64">
        <f t="shared" si="34"/>
        <v>3605.9991000000005</v>
      </c>
      <c r="R57" s="64">
        <f t="shared" si="34"/>
        <v>3714.1790730000007</v>
      </c>
      <c r="S57" s="108">
        <f t="shared" si="35"/>
        <v>0.03</v>
      </c>
      <c r="T57" s="3"/>
    </row>
    <row r="58" spans="1:20" x14ac:dyDescent="0.2">
      <c r="A58" s="3" t="s">
        <v>24</v>
      </c>
      <c r="B58" s="154" t="s">
        <v>95</v>
      </c>
      <c r="C58" s="103">
        <v>25140</v>
      </c>
      <c r="D58" s="103">
        <v>25140</v>
      </c>
      <c r="E58" s="103">
        <v>25140</v>
      </c>
      <c r="F58" s="103">
        <v>25800</v>
      </c>
      <c r="G58" s="24">
        <v>21500</v>
      </c>
      <c r="H58" s="24">
        <f t="shared" ca="1" si="29"/>
        <v>-21494</v>
      </c>
      <c r="I58" s="24">
        <f t="shared" ca="1" si="41"/>
        <v>6</v>
      </c>
      <c r="J58" s="24">
        <v>25800</v>
      </c>
      <c r="K58" s="24">
        <f t="shared" ca="1" si="42"/>
        <v>25794</v>
      </c>
      <c r="L58" s="64">
        <v>25800</v>
      </c>
      <c r="M58" s="149">
        <v>25800</v>
      </c>
      <c r="N58" s="149">
        <f t="shared" si="31"/>
        <v>25800</v>
      </c>
      <c r="O58" s="64">
        <f t="shared" si="32"/>
        <v>26574</v>
      </c>
      <c r="P58" s="64">
        <f t="shared" si="34"/>
        <v>27371.22</v>
      </c>
      <c r="Q58" s="64">
        <f t="shared" si="34"/>
        <v>28192.356600000003</v>
      </c>
      <c r="R58" s="64">
        <f t="shared" si="34"/>
        <v>29038.127298000003</v>
      </c>
      <c r="S58" s="108">
        <f t="shared" si="35"/>
        <v>0.03</v>
      </c>
      <c r="T58" s="35" t="s">
        <v>114</v>
      </c>
    </row>
    <row r="59" spans="1:20" ht="15" x14ac:dyDescent="0.35">
      <c r="A59" s="3" t="s">
        <v>28</v>
      </c>
      <c r="B59" s="154" t="s">
        <v>61</v>
      </c>
      <c r="C59" s="104">
        <v>73366</v>
      </c>
      <c r="D59" s="104">
        <v>74327</v>
      </c>
      <c r="E59" s="104">
        <v>75088</v>
      </c>
      <c r="F59" s="104">
        <v>72901</v>
      </c>
      <c r="G59" s="61">
        <v>61092</v>
      </c>
      <c r="H59" s="61">
        <f t="shared" ca="1" si="29"/>
        <v>-61075</v>
      </c>
      <c r="I59" s="61">
        <f t="shared" ca="1" si="36"/>
        <v>17</v>
      </c>
      <c r="J59" s="61">
        <v>75000</v>
      </c>
      <c r="K59" s="61">
        <f t="shared" ca="1" si="37"/>
        <v>74983</v>
      </c>
      <c r="L59" s="97">
        <v>75000</v>
      </c>
      <c r="M59" s="170">
        <v>75000</v>
      </c>
      <c r="N59" s="170">
        <v>75000</v>
      </c>
      <c r="O59" s="97">
        <f t="shared" si="32"/>
        <v>77250</v>
      </c>
      <c r="P59" s="97">
        <f t="shared" si="34"/>
        <v>79567.5</v>
      </c>
      <c r="Q59" s="97">
        <f t="shared" si="34"/>
        <v>81954.525000000009</v>
      </c>
      <c r="R59" s="97">
        <f t="shared" si="34"/>
        <v>84413.16075000001</v>
      </c>
      <c r="S59" s="108">
        <f t="shared" si="35"/>
        <v>0.03</v>
      </c>
      <c r="T59" s="3" t="s">
        <v>240</v>
      </c>
    </row>
    <row r="60" spans="1:20" s="1" customFormat="1" x14ac:dyDescent="0.2">
      <c r="A60" s="5"/>
      <c r="B60" s="150" t="s">
        <v>96</v>
      </c>
      <c r="C60" s="93">
        <f t="shared" ref="C60:E60" si="43">SUM(C39:C59)</f>
        <v>921472</v>
      </c>
      <c r="D60" s="93">
        <f t="shared" si="43"/>
        <v>945241</v>
      </c>
      <c r="E60" s="93">
        <f t="shared" si="43"/>
        <v>1036444</v>
      </c>
      <c r="F60" s="93">
        <f t="shared" ref="F60" si="44">SUM(F39:F59)</f>
        <v>1257915</v>
      </c>
      <c r="G60" s="22">
        <f t="shared" ref="G60:R60" si="45">SUM(G39:G59)</f>
        <v>1091678</v>
      </c>
      <c r="H60" s="22">
        <f t="shared" ca="1" si="45"/>
        <v>-1091373</v>
      </c>
      <c r="I60" s="22">
        <f t="shared" ca="1" si="45"/>
        <v>305</v>
      </c>
      <c r="J60" s="22">
        <v>1113379</v>
      </c>
      <c r="K60" s="22">
        <f t="shared" ca="1" si="45"/>
        <v>1113074</v>
      </c>
      <c r="L60" s="74">
        <f t="shared" si="45"/>
        <v>1113379</v>
      </c>
      <c r="M60" s="93">
        <f t="shared" si="45"/>
        <v>1230951</v>
      </c>
      <c r="N60" s="93">
        <f t="shared" ref="N60" si="46">SUM(N39:N59)</f>
        <v>1230951</v>
      </c>
      <c r="O60" s="88">
        <f t="shared" si="45"/>
        <v>1264849.53</v>
      </c>
      <c r="P60" s="88">
        <f t="shared" si="45"/>
        <v>1302876.0159000002</v>
      </c>
      <c r="Q60" s="88">
        <f t="shared" si="45"/>
        <v>1342065.346377</v>
      </c>
      <c r="R60" s="88">
        <f t="shared" si="45"/>
        <v>1382453.5092683104</v>
      </c>
      <c r="S60" s="11"/>
      <c r="T60" s="5"/>
    </row>
    <row r="61" spans="1:20" s="1" customFormat="1" x14ac:dyDescent="0.2">
      <c r="A61" s="5"/>
      <c r="B61" s="150"/>
      <c r="C61" s="175"/>
      <c r="D61" s="175"/>
      <c r="E61" s="175"/>
      <c r="F61" s="175"/>
      <c r="G61" s="63"/>
      <c r="H61" s="63"/>
      <c r="I61" s="63"/>
      <c r="J61" s="27"/>
      <c r="K61" s="21"/>
      <c r="L61" s="100"/>
      <c r="M61" s="175"/>
      <c r="N61" s="175"/>
      <c r="O61" s="90"/>
      <c r="P61" s="90"/>
      <c r="Q61" s="90"/>
      <c r="R61" s="90"/>
      <c r="S61" s="14"/>
      <c r="T61" s="5"/>
    </row>
    <row r="62" spans="1:20" ht="13.9" customHeight="1" x14ac:dyDescent="0.2">
      <c r="A62" s="5"/>
      <c r="B62" s="150" t="s">
        <v>0</v>
      </c>
      <c r="C62" s="176">
        <f t="shared" ref="C62:E62" si="47">+C36+C60</f>
        <v>1246211</v>
      </c>
      <c r="D62" s="176">
        <f t="shared" si="47"/>
        <v>1297305</v>
      </c>
      <c r="E62" s="176">
        <f t="shared" si="47"/>
        <v>1330950</v>
      </c>
      <c r="F62" s="176">
        <f t="shared" ref="F62" si="48">+F36+F60</f>
        <v>1544404</v>
      </c>
      <c r="G62" s="106">
        <f t="shared" ref="G62:R62" si="49">+G36+G60</f>
        <v>1330912</v>
      </c>
      <c r="H62" s="106">
        <f t="shared" ca="1" si="49"/>
        <v>-1330541</v>
      </c>
      <c r="I62" s="106">
        <f t="shared" ca="1" si="49"/>
        <v>371</v>
      </c>
      <c r="J62" s="106">
        <v>1416677</v>
      </c>
      <c r="K62" s="106">
        <f t="shared" ca="1" si="49"/>
        <v>1416306</v>
      </c>
      <c r="L62" s="117">
        <f t="shared" si="49"/>
        <v>1416677</v>
      </c>
      <c r="M62" s="176">
        <f t="shared" si="49"/>
        <v>1540221</v>
      </c>
      <c r="N62" s="176">
        <f t="shared" ref="N62" si="50">+N36+N60</f>
        <v>1549894.5</v>
      </c>
      <c r="O62" s="117">
        <f t="shared" si="49"/>
        <v>1589007.85</v>
      </c>
      <c r="P62" s="117">
        <f t="shared" si="49"/>
        <v>1637696.6855000001</v>
      </c>
      <c r="Q62" s="117">
        <f t="shared" si="49"/>
        <v>1687908.3800649999</v>
      </c>
      <c r="R62" s="117">
        <f t="shared" si="49"/>
        <v>1739691.3277269504</v>
      </c>
      <c r="S62" s="11"/>
    </row>
    <row r="63" spans="1:20" ht="13.9" customHeight="1" x14ac:dyDescent="0.2">
      <c r="A63" s="5"/>
      <c r="B63" s="150"/>
      <c r="C63" s="177"/>
      <c r="D63" s="177"/>
      <c r="E63" s="177"/>
      <c r="F63" s="177"/>
      <c r="G63" s="22"/>
      <c r="H63" s="161"/>
      <c r="I63" s="22"/>
      <c r="J63" s="20"/>
      <c r="K63" s="20"/>
      <c r="L63" s="118"/>
      <c r="M63" s="177"/>
      <c r="N63" s="177"/>
      <c r="O63" s="118"/>
      <c r="P63" s="118"/>
      <c r="Q63" s="118"/>
      <c r="R63" s="118"/>
      <c r="S63" s="11"/>
    </row>
    <row r="64" spans="1:20" ht="13.9" customHeight="1" x14ac:dyDescent="0.35">
      <c r="A64" s="5"/>
      <c r="B64" s="150" t="s">
        <v>106</v>
      </c>
      <c r="C64" s="178">
        <f t="shared" ref="C64:E64" si="51">+C16-C62</f>
        <v>523</v>
      </c>
      <c r="D64" s="178">
        <f t="shared" si="51"/>
        <v>-21752</v>
      </c>
      <c r="E64" s="178">
        <f t="shared" si="51"/>
        <v>-47341</v>
      </c>
      <c r="F64" s="178">
        <f t="shared" ref="F64" si="52">+F16-F62</f>
        <v>-108090</v>
      </c>
      <c r="G64" s="109">
        <f>+G16-G62</f>
        <v>-132094</v>
      </c>
      <c r="H64" s="109">
        <f ca="1">+H16-H62</f>
        <v>132059</v>
      </c>
      <c r="I64" s="109">
        <f ca="1">+I16-I62</f>
        <v>-35</v>
      </c>
      <c r="J64" s="109">
        <v>11145.000000000466</v>
      </c>
      <c r="K64" s="109">
        <f ca="1">+K16+K62</f>
        <v>-11180</v>
      </c>
      <c r="L64" s="119">
        <f>+L16-L62</f>
        <v>11145.400000000373</v>
      </c>
      <c r="M64" s="178">
        <f t="shared" ref="M64:R64" si="53">+M16-M62</f>
        <v>32048.220000000205</v>
      </c>
      <c r="N64" s="178">
        <f t="shared" ref="N64" si="54">+N16-N62</f>
        <v>22374.720000000205</v>
      </c>
      <c r="O64" s="119">
        <f t="shared" si="53"/>
        <v>26173.328600000124</v>
      </c>
      <c r="P64" s="119">
        <f t="shared" si="53"/>
        <v>-37229.502341999905</v>
      </c>
      <c r="Q64" s="119">
        <f t="shared" si="53"/>
        <v>-83046.621412260458</v>
      </c>
      <c r="R64" s="119">
        <f t="shared" si="53"/>
        <v>-79749.919514627662</v>
      </c>
      <c r="S64" s="15">
        <f>SUM(N64:R64)</f>
        <v>-151477.9946688877</v>
      </c>
      <c r="T64" s="5" t="s">
        <v>311</v>
      </c>
    </row>
    <row r="65" spans="1:20" s="5" customFormat="1" ht="12.75" customHeight="1" x14ac:dyDescent="0.2">
      <c r="B65" s="150"/>
      <c r="C65" s="167"/>
      <c r="D65" s="189" t="s">
        <v>338</v>
      </c>
      <c r="E65" s="189" t="s">
        <v>312</v>
      </c>
      <c r="F65" s="189" t="s">
        <v>312</v>
      </c>
      <c r="G65" s="22"/>
      <c r="H65" s="161"/>
      <c r="I65" s="22"/>
      <c r="J65" s="106"/>
      <c r="K65" s="22"/>
      <c r="L65" s="74"/>
      <c r="M65" s="167"/>
      <c r="N65" s="167"/>
      <c r="O65" s="191" t="s">
        <v>313</v>
      </c>
      <c r="P65" s="191"/>
      <c r="Q65" s="191"/>
      <c r="R65" s="191"/>
      <c r="S65" s="15"/>
    </row>
    <row r="66" spans="1:20" s="5" customFormat="1" ht="11.25" x14ac:dyDescent="0.2">
      <c r="B66" s="150" t="s">
        <v>76</v>
      </c>
      <c r="C66" s="175">
        <v>23</v>
      </c>
      <c r="D66" s="175">
        <v>23</v>
      </c>
      <c r="E66" s="175">
        <v>24</v>
      </c>
      <c r="F66" s="175">
        <v>25.55</v>
      </c>
      <c r="G66" s="22"/>
      <c r="H66" s="161"/>
      <c r="I66" s="22"/>
      <c r="J66" s="110">
        <v>25.55</v>
      </c>
      <c r="K66" s="20"/>
      <c r="L66" s="162">
        <f>+' Income 2016'!C2</f>
        <v>25.55</v>
      </c>
      <c r="M66" s="175">
        <f>+' Income 2017'!$C2</f>
        <v>27.2</v>
      </c>
      <c r="N66" s="175"/>
      <c r="O66" s="90">
        <f>+' Income 2018'!$C2</f>
        <v>28.97</v>
      </c>
      <c r="P66" s="90">
        <f>+' Income 2019'!$C2</f>
        <v>30.85</v>
      </c>
      <c r="Q66" s="90">
        <f>+' Income 2020'!$C2</f>
        <v>32.86</v>
      </c>
      <c r="R66" s="90">
        <f>+' Income 2021'!$C2</f>
        <v>35</v>
      </c>
      <c r="S66" s="11"/>
    </row>
    <row r="67" spans="1:20" s="5" customFormat="1" ht="11.25" x14ac:dyDescent="0.2">
      <c r="B67" s="150" t="s">
        <v>77</v>
      </c>
      <c r="C67" s="175">
        <v>41.4</v>
      </c>
      <c r="D67" s="175">
        <v>41.4</v>
      </c>
      <c r="E67" s="175">
        <v>43</v>
      </c>
      <c r="F67" s="175">
        <v>45.8</v>
      </c>
      <c r="G67" s="22"/>
      <c r="H67" s="161"/>
      <c r="I67" s="22"/>
      <c r="J67" s="110">
        <v>45.8</v>
      </c>
      <c r="K67" s="20"/>
      <c r="L67" s="162">
        <f>+' Income 2016'!C26</f>
        <v>45.8</v>
      </c>
      <c r="M67" s="175">
        <f>+' Income 2017'!$C26</f>
        <v>50.4</v>
      </c>
      <c r="N67" s="175"/>
      <c r="O67" s="90">
        <f>+' Income 2018'!$C26</f>
        <v>55.44</v>
      </c>
      <c r="P67" s="90">
        <f>+' Income 2019'!$C26</f>
        <v>57.1</v>
      </c>
      <c r="Q67" s="90">
        <f>+' Income 2020'!$C26</f>
        <v>58.81</v>
      </c>
      <c r="R67" s="90">
        <f>+' Income 2021'!$C26</f>
        <v>60.57</v>
      </c>
      <c r="S67" s="11"/>
    </row>
    <row r="68" spans="1:20" s="3" customFormat="1" ht="11.25" x14ac:dyDescent="0.2">
      <c r="B68" s="154"/>
      <c r="C68" s="81"/>
      <c r="D68" s="81"/>
      <c r="E68" s="81"/>
      <c r="F68" s="81"/>
      <c r="G68" s="22"/>
      <c r="H68" s="161"/>
      <c r="I68" s="22"/>
      <c r="J68" s="22"/>
      <c r="K68" s="22"/>
      <c r="L68" s="74"/>
      <c r="M68" s="92"/>
      <c r="N68" s="92"/>
      <c r="O68" s="86"/>
      <c r="P68" s="86"/>
      <c r="Q68" s="86"/>
      <c r="R68" s="86"/>
      <c r="S68" s="15"/>
      <c r="T68" s="5"/>
    </row>
    <row r="69" spans="1:20" x14ac:dyDescent="0.2">
      <c r="A69" s="8"/>
      <c r="B69" s="157" t="s">
        <v>259</v>
      </c>
      <c r="C69" s="84"/>
      <c r="D69" s="95">
        <f t="shared" ref="D69:F70" si="55">(+D66/C66)-1</f>
        <v>0</v>
      </c>
      <c r="E69" s="95">
        <f t="shared" si="55"/>
        <v>4.3478260869565188E-2</v>
      </c>
      <c r="F69" s="95">
        <f t="shared" si="55"/>
        <v>6.4583333333333437E-2</v>
      </c>
      <c r="G69" s="23"/>
      <c r="H69" s="23"/>
      <c r="I69" s="24"/>
      <c r="J69" s="94">
        <f>(+J66/E66)-1</f>
        <v>6.4583333333333437E-2</v>
      </c>
      <c r="K69" s="24"/>
      <c r="L69" s="163">
        <f>(+L66/E66)-1</f>
        <v>6.4583333333333437E-2</v>
      </c>
      <c r="M69" s="95">
        <f t="shared" ref="M69:R69" si="56">(+M66/L66)-1</f>
        <v>6.4579256360078219E-2</v>
      </c>
      <c r="N69" s="95"/>
      <c r="O69" s="94">
        <f>(+O66/M66)-1</f>
        <v>6.5073529411764586E-2</v>
      </c>
      <c r="P69" s="94">
        <f t="shared" si="56"/>
        <v>6.4894718674491036E-2</v>
      </c>
      <c r="Q69" s="94">
        <f t="shared" si="56"/>
        <v>6.5153970826580254E-2</v>
      </c>
      <c r="R69" s="94">
        <f t="shared" si="56"/>
        <v>6.5124771758977573E-2</v>
      </c>
    </row>
    <row r="70" spans="1:20" x14ac:dyDescent="0.2">
      <c r="A70" s="5"/>
      <c r="B70" s="158" t="s">
        <v>260</v>
      </c>
      <c r="C70" s="85"/>
      <c r="D70" s="95">
        <f t="shared" si="55"/>
        <v>0</v>
      </c>
      <c r="E70" s="95">
        <f t="shared" si="55"/>
        <v>3.8647342995169032E-2</v>
      </c>
      <c r="F70" s="95">
        <f t="shared" si="55"/>
        <v>6.5116279069767469E-2</v>
      </c>
      <c r="G70" s="23"/>
      <c r="H70" s="23"/>
      <c r="I70" s="24"/>
      <c r="J70" s="94">
        <f>(+J67/E67)-1</f>
        <v>6.5116279069767469E-2</v>
      </c>
      <c r="K70" s="24"/>
      <c r="L70" s="163">
        <f>(+L67/E67)-1</f>
        <v>6.5116279069767469E-2</v>
      </c>
      <c r="M70" s="95">
        <f t="shared" ref="M70:R70" si="57">(+M67/L67)-1</f>
        <v>0.10043668122270755</v>
      </c>
      <c r="N70" s="95"/>
      <c r="O70" s="94">
        <f>(+O67/M67)-1</f>
        <v>0.10000000000000009</v>
      </c>
      <c r="P70" s="94">
        <f t="shared" si="57"/>
        <v>2.9942279942279937E-2</v>
      </c>
      <c r="Q70" s="94">
        <f t="shared" si="57"/>
        <v>2.9947460595446618E-2</v>
      </c>
      <c r="R70" s="94">
        <f t="shared" si="57"/>
        <v>2.992688318313208E-2</v>
      </c>
    </row>
    <row r="71" spans="1:20" x14ac:dyDescent="0.2">
      <c r="A71" s="5"/>
      <c r="B71" s="150"/>
      <c r="C71" s="150"/>
      <c r="D71" s="150"/>
      <c r="E71" s="150"/>
      <c r="F71" s="150"/>
      <c r="G71" s="23"/>
      <c r="H71" s="23"/>
      <c r="I71" s="24"/>
      <c r="K71" s="24"/>
      <c r="M71" s="101"/>
      <c r="N71" s="101"/>
      <c r="O71" s="101"/>
      <c r="P71" s="101"/>
      <c r="Q71" s="101"/>
      <c r="R71" s="101"/>
      <c r="S71" s="16"/>
    </row>
    <row r="72" spans="1:20" x14ac:dyDescent="0.2">
      <c r="A72" s="7"/>
      <c r="B72" s="154"/>
      <c r="C72" s="154"/>
      <c r="D72" s="154"/>
      <c r="E72" s="154"/>
      <c r="F72" s="154"/>
      <c r="G72" s="24"/>
      <c r="H72" s="24"/>
      <c r="I72" s="24"/>
      <c r="K72" s="24"/>
      <c r="L72" s="101"/>
      <c r="M72" s="115">
        <f>+M62/F62</f>
        <v>0.99729151180649622</v>
      </c>
      <c r="N72" s="115">
        <f>+N62/F62</f>
        <v>1.003555093097402</v>
      </c>
      <c r="O72" s="115">
        <f>+O62/N62</f>
        <v>1.0252361370402954</v>
      </c>
      <c r="P72" s="115">
        <f>+P62/O62</f>
        <v>1.0306410289288377</v>
      </c>
      <c r="Q72" s="115">
        <f>+Q62/P62</f>
        <v>1.0306599476017562</v>
      </c>
      <c r="R72" s="115">
        <f>+R62/Q62</f>
        <v>1.0306787668534214</v>
      </c>
      <c r="S72" s="16" t="s">
        <v>272</v>
      </c>
    </row>
    <row r="73" spans="1:20" x14ac:dyDescent="0.2">
      <c r="B73" s="154"/>
      <c r="C73" s="154"/>
      <c r="D73" s="154"/>
      <c r="E73" s="154"/>
      <c r="F73" s="154"/>
      <c r="G73" s="24"/>
      <c r="H73" s="24"/>
      <c r="I73" s="24"/>
      <c r="K73" s="24"/>
    </row>
    <row r="74" spans="1:20" x14ac:dyDescent="0.2">
      <c r="B74" s="152" t="s">
        <v>308</v>
      </c>
      <c r="C74" s="152"/>
      <c r="D74" s="152"/>
      <c r="E74" s="152"/>
      <c r="F74" s="152"/>
      <c r="G74" s="64"/>
      <c r="H74" s="64"/>
      <c r="I74" s="64"/>
      <c r="J74" s="64"/>
      <c r="K74" s="64"/>
      <c r="M74" s="148">
        <f>+M64</f>
        <v>32048.220000000205</v>
      </c>
      <c r="N74" s="148">
        <f>+N64</f>
        <v>22374.720000000205</v>
      </c>
      <c r="O74" s="148">
        <f>+O64</f>
        <v>26173.328600000124</v>
      </c>
      <c r="P74" s="148">
        <f t="shared" ref="P74:R74" si="58">+P64</f>
        <v>-37229.502341999905</v>
      </c>
      <c r="Q74" s="148">
        <f t="shared" si="58"/>
        <v>-83046.621412260458</v>
      </c>
      <c r="R74" s="148">
        <f t="shared" si="58"/>
        <v>-79749.919514627662</v>
      </c>
      <c r="S74" s="10">
        <f>SUM(N74:R74)</f>
        <v>-151477.9946688877</v>
      </c>
      <c r="T74" s="5" t="s">
        <v>311</v>
      </c>
    </row>
    <row r="75" spans="1:20" x14ac:dyDescent="0.2">
      <c r="B75" s="152" t="s">
        <v>309</v>
      </c>
      <c r="C75" s="152"/>
      <c r="D75" s="152"/>
      <c r="E75" s="152"/>
      <c r="F75" s="152"/>
      <c r="G75" s="64"/>
      <c r="H75" s="64"/>
      <c r="I75" s="64"/>
      <c r="J75" s="64"/>
      <c r="K75" s="64"/>
      <c r="N75" s="64">
        <f>-(7*5000)</f>
        <v>-35000</v>
      </c>
      <c r="O75" s="64">
        <v>-40000</v>
      </c>
      <c r="P75" s="148">
        <v>-25000</v>
      </c>
      <c r="Q75" s="148">
        <v>-12368</v>
      </c>
      <c r="R75" s="148">
        <f t="shared" ref="R75" si="59">+R65</f>
        <v>0</v>
      </c>
      <c r="S75" s="10">
        <f>SUM(N75:R75)</f>
        <v>-112368</v>
      </c>
    </row>
    <row r="76" spans="1:20" x14ac:dyDescent="0.2">
      <c r="B76" s="154" t="s">
        <v>303</v>
      </c>
      <c r="C76" s="154"/>
      <c r="D76" s="154"/>
      <c r="E76" s="154"/>
      <c r="F76" s="154"/>
      <c r="G76" s="24"/>
      <c r="H76" s="24"/>
      <c r="I76" s="24"/>
      <c r="K76" s="24"/>
      <c r="N76" s="64">
        <f>-assessment!B15</f>
        <v>-1561071</v>
      </c>
      <c r="S76" s="10">
        <f>SUM(N76:P76)</f>
        <v>-1561071</v>
      </c>
    </row>
    <row r="77" spans="1:20" x14ac:dyDescent="0.2">
      <c r="B77" s="154" t="s">
        <v>291</v>
      </c>
      <c r="C77" s="154"/>
      <c r="D77" s="154"/>
      <c r="E77" s="154"/>
      <c r="F77" s="154"/>
      <c r="G77" s="24"/>
      <c r="H77" s="24"/>
      <c r="I77" s="24"/>
      <c r="K77" s="24"/>
      <c r="N77" s="64">
        <f>+assessment!D29</f>
        <v>1621199.4950000001</v>
      </c>
      <c r="S77" s="10">
        <f>SUM(N77:P77)</f>
        <v>1621199.4950000001</v>
      </c>
    </row>
    <row r="78" spans="1:20" x14ac:dyDescent="0.2">
      <c r="B78" s="154" t="s">
        <v>296</v>
      </c>
      <c r="C78" s="154"/>
      <c r="D78" s="154"/>
      <c r="E78" s="154"/>
      <c r="F78" s="154"/>
      <c r="G78" s="24"/>
      <c r="H78" s="24"/>
      <c r="I78" s="24"/>
      <c r="K78" s="24"/>
      <c r="N78" s="64">
        <v>150000</v>
      </c>
      <c r="S78" s="10">
        <f>SUM(N78:P78)</f>
        <v>150000</v>
      </c>
    </row>
    <row r="79" spans="1:20" s="5" customFormat="1" ht="11.25" x14ac:dyDescent="0.2">
      <c r="A79" s="3"/>
      <c r="B79" s="154"/>
      <c r="C79" s="154"/>
      <c r="D79" s="154"/>
      <c r="E79" s="154"/>
      <c r="F79" s="154"/>
      <c r="G79" s="24"/>
      <c r="H79" s="24"/>
      <c r="I79" s="24"/>
      <c r="J79" s="24"/>
      <c r="K79" s="24"/>
      <c r="L79" s="64"/>
      <c r="M79" s="150"/>
      <c r="N79" s="64"/>
    </row>
    <row r="80" spans="1:20" x14ac:dyDescent="0.2">
      <c r="B80" s="154" t="s">
        <v>310</v>
      </c>
      <c r="C80" s="154"/>
      <c r="D80" s="154"/>
      <c r="E80" s="154"/>
      <c r="F80" s="154"/>
      <c r="G80" s="24"/>
      <c r="H80" s="24"/>
      <c r="I80" s="24"/>
      <c r="K80" s="24"/>
      <c r="M80" s="64">
        <f t="shared" ref="M80:R80" si="60">SUM(M74:M79)</f>
        <v>32048.220000000205</v>
      </c>
      <c r="N80" s="64">
        <f t="shared" si="60"/>
        <v>197503.21500000032</v>
      </c>
      <c r="O80" s="64">
        <f t="shared" si="60"/>
        <v>-13826.671399999876</v>
      </c>
      <c r="P80" s="64">
        <f t="shared" si="60"/>
        <v>-62229.502341999905</v>
      </c>
      <c r="Q80" s="64">
        <f t="shared" si="60"/>
        <v>-95414.621412260458</v>
      </c>
      <c r="R80" s="64">
        <f t="shared" si="60"/>
        <v>-79749.919514627662</v>
      </c>
      <c r="S80" s="10">
        <f>SUM(N80:R80)</f>
        <v>-53717.499668887584</v>
      </c>
      <c r="T80" s="5" t="s">
        <v>311</v>
      </c>
    </row>
    <row r="81" spans="1:19" s="5" customFormat="1" ht="11.25" x14ac:dyDescent="0.2">
      <c r="A81" s="3"/>
      <c r="B81" s="154"/>
      <c r="C81" s="154"/>
      <c r="D81" s="154"/>
      <c r="E81" s="154"/>
      <c r="F81" s="154"/>
      <c r="G81" s="24"/>
      <c r="H81" s="24"/>
      <c r="I81" s="24"/>
      <c r="J81" s="24"/>
      <c r="K81" s="24"/>
      <c r="L81" s="64"/>
      <c r="M81" s="150"/>
      <c r="N81" s="64"/>
      <c r="O81" s="64"/>
      <c r="P81" s="64"/>
      <c r="Q81" s="64"/>
      <c r="R81" s="64"/>
      <c r="S81" s="10"/>
    </row>
    <row r="82" spans="1:19" x14ac:dyDescent="0.2">
      <c r="B82" s="182" t="s">
        <v>297</v>
      </c>
    </row>
    <row r="83" spans="1:19" s="5" customFormat="1" x14ac:dyDescent="0.2">
      <c r="A83" s="3"/>
      <c r="B83" s="184" t="s">
        <v>322</v>
      </c>
      <c r="C83" s="151"/>
      <c r="D83" s="151"/>
      <c r="E83" s="151"/>
      <c r="F83" s="151"/>
      <c r="G83" s="25"/>
      <c r="H83" s="25"/>
      <c r="I83" s="25"/>
      <c r="J83" s="24"/>
      <c r="K83" s="25"/>
      <c r="L83" s="64"/>
      <c r="M83" s="101"/>
      <c r="N83" s="64"/>
      <c r="O83" s="64"/>
      <c r="P83" s="64"/>
      <c r="Q83" s="64"/>
      <c r="R83" s="64"/>
      <c r="S83" s="10"/>
    </row>
    <row r="84" spans="1:19" s="5" customFormat="1" x14ac:dyDescent="0.2">
      <c r="A84" s="3"/>
      <c r="B84" s="151"/>
      <c r="C84" s="151"/>
      <c r="D84" s="151"/>
      <c r="E84" s="151"/>
      <c r="F84" s="151"/>
      <c r="G84" s="25"/>
      <c r="H84" s="25"/>
      <c r="I84" s="25"/>
      <c r="J84" s="24"/>
      <c r="K84" s="25"/>
      <c r="L84" s="64"/>
      <c r="M84" s="64"/>
      <c r="N84" s="64"/>
      <c r="O84" s="64"/>
      <c r="P84" s="64"/>
      <c r="Q84" s="64"/>
      <c r="R84" s="64"/>
      <c r="S84" s="10"/>
    </row>
    <row r="85" spans="1:19" s="5" customFormat="1" ht="11.25" x14ac:dyDescent="0.2">
      <c r="A85" s="3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64"/>
      <c r="O85" s="64"/>
      <c r="P85" s="64"/>
      <c r="Q85" s="64"/>
      <c r="R85" s="64"/>
      <c r="S85" s="10"/>
    </row>
    <row r="88" spans="1:19" s="5" customFormat="1" x14ac:dyDescent="0.2">
      <c r="A88" s="3"/>
      <c r="B88" s="151"/>
      <c r="C88" s="151"/>
      <c r="D88" s="151"/>
      <c r="E88" s="151"/>
      <c r="F88" s="151"/>
      <c r="G88" s="25"/>
      <c r="H88" s="25"/>
      <c r="I88" s="25"/>
      <c r="J88" s="24"/>
      <c r="K88" s="25"/>
      <c r="L88" s="64"/>
      <c r="M88" s="64"/>
      <c r="N88" s="64"/>
      <c r="O88" s="64"/>
      <c r="P88" s="64"/>
      <c r="Q88" s="64"/>
      <c r="R88" s="64"/>
      <c r="S88" s="10"/>
    </row>
  </sheetData>
  <sheetProtection algorithmName="SHA-512" hashValue="vishyAjVwfBcXXdbWqJvsc4o1csOklVCgGyRflM1juY5XomaItAiB+K6v51YyUS84OVRYrSEcf5CsHbDMwZYqw==" saltValue="eWLDaJwXYtU334gSYFqjCA==" spinCount="100000" sheet="1" objects="1" scenarios="1"/>
  <mergeCells count="4">
    <mergeCell ref="G1:K1"/>
    <mergeCell ref="O65:R65"/>
    <mergeCell ref="C2:F2"/>
    <mergeCell ref="O2:R2"/>
  </mergeCells>
  <phoneticPr fontId="0" type="noConversion"/>
  <pageMargins left="0.16" right="0.17" top="0.38" bottom="0.05" header="0.25" footer="0.17"/>
  <pageSetup scale="54" orientation="landscape" r:id="rId1"/>
  <headerFooter alignWithMargins="0">
    <oddHeader>Page &amp;P&amp;RELW 2016 5year model updated as of Feb 7</oddHeader>
  </headerFooter>
  <ignoredErrors>
    <ignoredError sqref="K64" formula="1"/>
    <ignoredError sqref="S19 S21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opLeftCell="A3" workbookViewId="0">
      <selection activeCell="A32" sqref="A32"/>
    </sheetView>
  </sheetViews>
  <sheetFormatPr defaultRowHeight="12.75" x14ac:dyDescent="0.2"/>
  <cols>
    <col min="1" max="1" width="115.7109375" customWidth="1"/>
  </cols>
  <sheetData>
    <row r="1" spans="1:1" x14ac:dyDescent="0.2">
      <c r="A1" s="138">
        <f ca="1">NOW()</f>
        <v>42780.48384050926</v>
      </c>
    </row>
    <row r="3" spans="1:1" x14ac:dyDescent="0.2">
      <c r="A3" s="28" t="s">
        <v>295</v>
      </c>
    </row>
    <row r="5" spans="1:1" x14ac:dyDescent="0.2">
      <c r="A5" s="124" t="s">
        <v>329</v>
      </c>
    </row>
    <row r="7" spans="1:1" x14ac:dyDescent="0.2">
      <c r="A7" s="124" t="s">
        <v>330</v>
      </c>
    </row>
    <row r="8" spans="1:1" x14ac:dyDescent="0.2">
      <c r="A8" s="124"/>
    </row>
    <row r="9" spans="1:1" x14ac:dyDescent="0.2">
      <c r="A9" s="124" t="s">
        <v>324</v>
      </c>
    </row>
    <row r="11" spans="1:1" x14ac:dyDescent="0.2">
      <c r="A11" s="124" t="s">
        <v>325</v>
      </c>
    </row>
    <row r="13" spans="1:1" x14ac:dyDescent="0.2">
      <c r="A13" s="124" t="s">
        <v>326</v>
      </c>
    </row>
    <row r="15" spans="1:1" x14ac:dyDescent="0.2">
      <c r="A15" s="124" t="s">
        <v>327</v>
      </c>
    </row>
    <row r="17" spans="1:1" x14ac:dyDescent="0.2">
      <c r="A17" s="124" t="s">
        <v>328</v>
      </c>
    </row>
  </sheetData>
  <sheetProtection algorithmName="SHA-512" hashValue="5mON31A1HYUkeLvxr77Xw9hJCZeWaiAAJpm/eiGBO/GJYTuZf3h/g9uh48nDianWXAIMjKNVBG56XPN4mZYQCA==" saltValue="CQFmfidlq134u6EASfPUvw==" spinCount="100000" sheet="1" objects="1" scenarios="1"/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76"/>
  <sheetViews>
    <sheetView topLeftCell="A42" workbookViewId="0">
      <selection activeCell="D2" sqref="D2"/>
    </sheetView>
  </sheetViews>
  <sheetFormatPr defaultRowHeight="12.75" x14ac:dyDescent="0.2"/>
  <cols>
    <col min="1" max="1" width="24.85546875" customWidth="1"/>
    <col min="3" max="3" width="12.28515625" bestFit="1" customWidth="1"/>
    <col min="4" max="4" width="14.42578125" bestFit="1" customWidth="1"/>
    <col min="5" max="5" width="13.85546875" bestFit="1" customWidth="1"/>
    <col min="6" max="6" width="16.7109375" bestFit="1" customWidth="1"/>
  </cols>
  <sheetData>
    <row r="1" spans="1:6" x14ac:dyDescent="0.2">
      <c r="C1" s="52"/>
      <c r="D1" s="52"/>
      <c r="E1" s="52"/>
    </row>
    <row r="2" spans="1:6" x14ac:dyDescent="0.2">
      <c r="A2" s="1"/>
      <c r="B2" s="1"/>
      <c r="C2" s="52">
        <v>25.55</v>
      </c>
      <c r="D2" s="52">
        <f>+C2-E2</f>
        <v>21.15</v>
      </c>
      <c r="E2" s="52">
        <v>4.4000000000000004</v>
      </c>
      <c r="F2" s="111" t="s">
        <v>251</v>
      </c>
    </row>
    <row r="3" spans="1:6" x14ac:dyDescent="0.2">
      <c r="A3" s="2" t="s">
        <v>236</v>
      </c>
      <c r="B3" s="2" t="s">
        <v>213</v>
      </c>
      <c r="C3" s="58" t="s">
        <v>212</v>
      </c>
      <c r="D3" s="58" t="s">
        <v>211</v>
      </c>
      <c r="E3" s="58" t="s">
        <v>210</v>
      </c>
      <c r="F3" s="58" t="s">
        <v>209</v>
      </c>
    </row>
    <row r="4" spans="1:6" x14ac:dyDescent="0.2">
      <c r="A4" s="2" t="s">
        <v>208</v>
      </c>
      <c r="B4" s="2" t="s">
        <v>207</v>
      </c>
      <c r="C4" s="58" t="s">
        <v>206</v>
      </c>
      <c r="D4" s="58" t="s">
        <v>235</v>
      </c>
      <c r="E4" s="58" t="s">
        <v>204</v>
      </c>
      <c r="F4" s="2" t="s">
        <v>203</v>
      </c>
    </row>
    <row r="5" spans="1:6" x14ac:dyDescent="0.2">
      <c r="A5" t="s">
        <v>234</v>
      </c>
      <c r="C5" s="52"/>
      <c r="D5" s="52"/>
      <c r="E5" s="52"/>
      <c r="F5" s="55"/>
    </row>
    <row r="6" spans="1:6" x14ac:dyDescent="0.2">
      <c r="A6" t="s">
        <v>233</v>
      </c>
      <c r="C6" s="52"/>
      <c r="D6" s="52"/>
      <c r="E6" s="52"/>
      <c r="F6" s="55"/>
    </row>
    <row r="7" spans="1:6" x14ac:dyDescent="0.2">
      <c r="A7" t="s">
        <v>232</v>
      </c>
      <c r="B7">
        <v>72</v>
      </c>
      <c r="C7" s="52">
        <f>SUM($C$2*B7)</f>
        <v>1839.6000000000001</v>
      </c>
      <c r="D7" s="52">
        <f>SUM($D$2*B7*12)</f>
        <v>18273.599999999999</v>
      </c>
      <c r="E7" s="52">
        <f>SUM($E$2*12*B7)</f>
        <v>3801.6000000000004</v>
      </c>
      <c r="F7" s="55">
        <f>SUM(C7*12)</f>
        <v>22075.200000000001</v>
      </c>
    </row>
    <row r="8" spans="1:6" x14ac:dyDescent="0.2">
      <c r="A8" t="s">
        <v>231</v>
      </c>
      <c r="C8" s="52"/>
      <c r="D8" s="52"/>
      <c r="E8" s="52"/>
      <c r="F8" s="55"/>
    </row>
    <row r="9" spans="1:6" x14ac:dyDescent="0.2">
      <c r="A9" t="s">
        <v>230</v>
      </c>
      <c r="B9">
        <v>104</v>
      </c>
      <c r="C9" s="52">
        <f>SUM($C$2*B9)</f>
        <v>2657.2000000000003</v>
      </c>
      <c r="D9" s="52">
        <f>SUM($D$2*B9*12)</f>
        <v>26395.199999999997</v>
      </c>
      <c r="E9" s="52">
        <f>SUM($E$2*12*B9)</f>
        <v>5491.2000000000007</v>
      </c>
      <c r="F9" s="55">
        <f>SUM(C9*12)</f>
        <v>31886.400000000001</v>
      </c>
    </row>
    <row r="10" spans="1:6" x14ac:dyDescent="0.2">
      <c r="A10" t="s">
        <v>229</v>
      </c>
      <c r="B10">
        <v>80</v>
      </c>
      <c r="C10" s="52">
        <f>SUM($C$2*B10)</f>
        <v>2044</v>
      </c>
      <c r="D10" s="52">
        <f>SUM($D$2*B10*12)</f>
        <v>20304</v>
      </c>
      <c r="E10" s="52">
        <f>SUM($E$2*12*B10)</f>
        <v>4224</v>
      </c>
      <c r="F10" s="55">
        <f>SUM(C10*12)</f>
        <v>24528</v>
      </c>
    </row>
    <row r="11" spans="1:6" x14ac:dyDescent="0.2">
      <c r="A11" t="s">
        <v>228</v>
      </c>
      <c r="C11" s="52"/>
      <c r="D11" s="52"/>
      <c r="E11" s="52"/>
      <c r="F11" s="55"/>
    </row>
    <row r="12" spans="1:6" x14ac:dyDescent="0.2">
      <c r="A12" t="s">
        <v>227</v>
      </c>
      <c r="B12">
        <v>124</v>
      </c>
      <c r="C12" s="52">
        <f>SUM($C$2*B12)</f>
        <v>3168.2000000000003</v>
      </c>
      <c r="D12" s="52">
        <f>SUM($D$2*B12*12)</f>
        <v>31471.199999999997</v>
      </c>
      <c r="E12" s="52">
        <f>SUM($E$2*12*B12)</f>
        <v>6547.2000000000007</v>
      </c>
      <c r="F12" s="55">
        <f>SUM(C12*12)</f>
        <v>38018.400000000001</v>
      </c>
    </row>
    <row r="13" spans="1:6" x14ac:dyDescent="0.2">
      <c r="A13" t="s">
        <v>226</v>
      </c>
      <c r="C13" s="52"/>
      <c r="D13" s="52"/>
      <c r="E13" s="52"/>
      <c r="F13" s="55"/>
    </row>
    <row r="14" spans="1:6" x14ac:dyDescent="0.2">
      <c r="A14" t="s">
        <v>225</v>
      </c>
      <c r="B14">
        <v>132</v>
      </c>
      <c r="C14" s="52">
        <f t="shared" ref="C14:C21" si="0">SUM($C$2*B14)</f>
        <v>3372.6</v>
      </c>
      <c r="D14" s="52">
        <f t="shared" ref="D14:D21" si="1">SUM($D$2*B14*12)</f>
        <v>33501.599999999999</v>
      </c>
      <c r="E14" s="52">
        <f t="shared" ref="E14:E21" si="2">SUM($E$2*12*B14)</f>
        <v>6969.6</v>
      </c>
      <c r="F14" s="55">
        <f t="shared" ref="F14:F21" si="3">SUM(C14*12)</f>
        <v>40471.199999999997</v>
      </c>
    </row>
    <row r="15" spans="1:6" x14ac:dyDescent="0.2">
      <c r="A15" t="s">
        <v>224</v>
      </c>
      <c r="B15">
        <v>28</v>
      </c>
      <c r="C15" s="52">
        <f t="shared" si="0"/>
        <v>715.4</v>
      </c>
      <c r="D15" s="52">
        <f t="shared" si="1"/>
        <v>7106.4</v>
      </c>
      <c r="E15" s="52">
        <f t="shared" si="2"/>
        <v>1478.4</v>
      </c>
      <c r="F15" s="55">
        <f t="shared" si="3"/>
        <v>8584.7999999999993</v>
      </c>
    </row>
    <row r="16" spans="1:6" x14ac:dyDescent="0.2">
      <c r="A16" t="s">
        <v>223</v>
      </c>
      <c r="B16">
        <v>34</v>
      </c>
      <c r="C16" s="52">
        <f t="shared" si="0"/>
        <v>868.7</v>
      </c>
      <c r="D16" s="52">
        <f t="shared" si="1"/>
        <v>8629.1999999999989</v>
      </c>
      <c r="E16" s="52">
        <f t="shared" si="2"/>
        <v>1795.2</v>
      </c>
      <c r="F16" s="55">
        <f t="shared" si="3"/>
        <v>10424.400000000001</v>
      </c>
    </row>
    <row r="17" spans="1:6" x14ac:dyDescent="0.2">
      <c r="A17" t="s">
        <v>222</v>
      </c>
      <c r="B17">
        <v>35</v>
      </c>
      <c r="C17" s="52">
        <f t="shared" si="0"/>
        <v>894.25</v>
      </c>
      <c r="D17" s="52">
        <f t="shared" si="1"/>
        <v>8883</v>
      </c>
      <c r="E17" s="52">
        <f t="shared" si="2"/>
        <v>1848.0000000000002</v>
      </c>
      <c r="F17" s="55">
        <f t="shared" si="3"/>
        <v>10731</v>
      </c>
    </row>
    <row r="18" spans="1:6" x14ac:dyDescent="0.2">
      <c r="A18" t="s">
        <v>221</v>
      </c>
      <c r="B18">
        <v>99</v>
      </c>
      <c r="C18" s="52">
        <f t="shared" si="0"/>
        <v>2529.4500000000003</v>
      </c>
      <c r="D18" s="52">
        <f t="shared" si="1"/>
        <v>25126.199999999997</v>
      </c>
      <c r="E18" s="52">
        <f t="shared" si="2"/>
        <v>5227.2000000000007</v>
      </c>
      <c r="F18" s="55">
        <f t="shared" si="3"/>
        <v>30353.4</v>
      </c>
    </row>
    <row r="19" spans="1:6" x14ac:dyDescent="0.2">
      <c r="A19" t="s">
        <v>220</v>
      </c>
      <c r="B19">
        <v>77</v>
      </c>
      <c r="C19" s="52">
        <f t="shared" si="0"/>
        <v>1967.3500000000001</v>
      </c>
      <c r="D19" s="52">
        <f t="shared" si="1"/>
        <v>19542.599999999999</v>
      </c>
      <c r="E19" s="52">
        <f t="shared" si="2"/>
        <v>4065.6000000000004</v>
      </c>
      <c r="F19" s="55">
        <f t="shared" si="3"/>
        <v>23608.2</v>
      </c>
    </row>
    <row r="20" spans="1:6" x14ac:dyDescent="0.2">
      <c r="A20" t="s">
        <v>219</v>
      </c>
      <c r="B20">
        <v>33</v>
      </c>
      <c r="C20" s="52">
        <f t="shared" si="0"/>
        <v>843.15</v>
      </c>
      <c r="D20" s="52">
        <f t="shared" si="1"/>
        <v>8375.4</v>
      </c>
      <c r="E20" s="52">
        <f t="shared" si="2"/>
        <v>1742.4</v>
      </c>
      <c r="F20" s="55">
        <f t="shared" si="3"/>
        <v>10117.799999999999</v>
      </c>
    </row>
    <row r="21" spans="1:6" x14ac:dyDescent="0.2">
      <c r="A21" t="s">
        <v>218</v>
      </c>
      <c r="B21">
        <v>67</v>
      </c>
      <c r="C21" s="52">
        <f t="shared" si="0"/>
        <v>1711.8500000000001</v>
      </c>
      <c r="D21" s="52">
        <f t="shared" si="1"/>
        <v>17004.599999999999</v>
      </c>
      <c r="E21" s="52">
        <f t="shared" si="2"/>
        <v>3537.6000000000004</v>
      </c>
      <c r="F21" s="55">
        <f t="shared" si="3"/>
        <v>20542.2</v>
      </c>
    </row>
    <row r="22" spans="1:6" x14ac:dyDescent="0.2">
      <c r="A22" t="s">
        <v>217</v>
      </c>
      <c r="C22" s="52"/>
      <c r="D22" s="52"/>
      <c r="E22" s="52"/>
      <c r="F22" s="55"/>
    </row>
    <row r="23" spans="1:6" x14ac:dyDescent="0.2">
      <c r="A23" t="s">
        <v>216</v>
      </c>
      <c r="B23">
        <v>246</v>
      </c>
      <c r="C23" s="52">
        <f>SUM($C$2*B23)</f>
        <v>6285.3</v>
      </c>
      <c r="D23" s="52">
        <f>SUM($D$2*B23*12)</f>
        <v>62434.799999999996</v>
      </c>
      <c r="E23" s="52">
        <f>SUM($E$2*12*B23)</f>
        <v>12988.800000000001</v>
      </c>
      <c r="F23" s="55">
        <f>SUM(C23*12)</f>
        <v>75423.600000000006</v>
      </c>
    </row>
    <row r="24" spans="1:6" x14ac:dyDescent="0.2">
      <c r="A24" s="1" t="s">
        <v>215</v>
      </c>
      <c r="B24" s="1">
        <f>SUM(B5:B23)</f>
        <v>1131</v>
      </c>
      <c r="C24" s="53">
        <f>SUM(C5:C23)</f>
        <v>28897.05</v>
      </c>
      <c r="D24" s="53">
        <f>SUM(D5:D23)</f>
        <v>287047.80000000005</v>
      </c>
      <c r="E24" s="53">
        <f>SUM(E5:E23)</f>
        <v>59716.800000000003</v>
      </c>
      <c r="F24" s="57">
        <f>SUM(C24*12)</f>
        <v>346764.6</v>
      </c>
    </row>
    <row r="25" spans="1:6" x14ac:dyDescent="0.2">
      <c r="A25" s="1"/>
      <c r="B25" s="1"/>
      <c r="C25" s="53"/>
      <c r="D25" s="53"/>
      <c r="E25" s="53"/>
      <c r="F25" s="57"/>
    </row>
    <row r="26" spans="1:6" x14ac:dyDescent="0.2">
      <c r="A26" s="1"/>
      <c r="B26" s="1"/>
      <c r="C26" s="54">
        <v>45.8</v>
      </c>
      <c r="D26" s="54">
        <f>+C26-E26</f>
        <v>41.4</v>
      </c>
      <c r="E26" s="54">
        <f>+E2</f>
        <v>4.4000000000000004</v>
      </c>
      <c r="F26" s="59"/>
    </row>
    <row r="27" spans="1:6" x14ac:dyDescent="0.2">
      <c r="A27" s="2" t="s">
        <v>214</v>
      </c>
      <c r="B27" s="2" t="s">
        <v>213</v>
      </c>
      <c r="C27" s="58" t="s">
        <v>212</v>
      </c>
      <c r="D27" s="58" t="s">
        <v>211</v>
      </c>
      <c r="E27" s="58" t="s">
        <v>210</v>
      </c>
      <c r="F27" s="58" t="s">
        <v>209</v>
      </c>
    </row>
    <row r="28" spans="1:6" x14ac:dyDescent="0.2">
      <c r="A28" s="2" t="s">
        <v>208</v>
      </c>
      <c r="B28" s="2" t="s">
        <v>207</v>
      </c>
      <c r="C28" s="58" t="s">
        <v>206</v>
      </c>
      <c r="D28" s="58" t="s">
        <v>205</v>
      </c>
      <c r="E28" s="58" t="s">
        <v>204</v>
      </c>
      <c r="F28" s="2" t="s">
        <v>203</v>
      </c>
    </row>
    <row r="29" spans="1:6" x14ac:dyDescent="0.2">
      <c r="A29" t="s">
        <v>202</v>
      </c>
      <c r="B29">
        <v>165</v>
      </c>
      <c r="C29" s="52">
        <f t="shared" ref="C29:C65" si="4">SUM($C$26*B29)</f>
        <v>7556.9999999999991</v>
      </c>
      <c r="D29" s="52">
        <f t="shared" ref="D29:D65" si="5">SUM($D$26*B29*12)</f>
        <v>81972</v>
      </c>
      <c r="E29" s="52">
        <f t="shared" ref="E29:E65" si="6">SUM($E$26*B29*12)</f>
        <v>8712.0000000000018</v>
      </c>
      <c r="F29" s="55">
        <f t="shared" ref="F29:F65" si="7">SUM(C29*12)</f>
        <v>90683.999999999985</v>
      </c>
    </row>
    <row r="30" spans="1:6" x14ac:dyDescent="0.2">
      <c r="A30" t="s">
        <v>201</v>
      </c>
      <c r="B30">
        <v>3</v>
      </c>
      <c r="C30" s="52">
        <f t="shared" si="4"/>
        <v>137.39999999999998</v>
      </c>
      <c r="D30" s="52">
        <f t="shared" si="5"/>
        <v>1490.3999999999999</v>
      </c>
      <c r="E30" s="52">
        <f t="shared" si="6"/>
        <v>158.4</v>
      </c>
      <c r="F30" s="55">
        <f t="shared" si="7"/>
        <v>1648.7999999999997</v>
      </c>
    </row>
    <row r="31" spans="1:6" x14ac:dyDescent="0.2">
      <c r="A31" t="s">
        <v>250</v>
      </c>
      <c r="B31">
        <v>6</v>
      </c>
      <c r="C31" s="52">
        <f t="shared" si="4"/>
        <v>274.79999999999995</v>
      </c>
      <c r="D31" s="52">
        <f t="shared" si="5"/>
        <v>2980.7999999999997</v>
      </c>
      <c r="E31" s="52">
        <f t="shared" si="6"/>
        <v>316.8</v>
      </c>
      <c r="F31" s="55">
        <f t="shared" si="7"/>
        <v>3297.5999999999995</v>
      </c>
    </row>
    <row r="32" spans="1:6" x14ac:dyDescent="0.2">
      <c r="A32" t="s">
        <v>200</v>
      </c>
      <c r="B32">
        <v>50</v>
      </c>
      <c r="C32" s="52">
        <f t="shared" si="4"/>
        <v>2290</v>
      </c>
      <c r="D32" s="52">
        <f t="shared" si="5"/>
        <v>24840</v>
      </c>
      <c r="E32" s="52">
        <f t="shared" si="6"/>
        <v>2640.0000000000005</v>
      </c>
      <c r="F32" s="55">
        <f t="shared" si="7"/>
        <v>27480</v>
      </c>
    </row>
    <row r="33" spans="1:6" x14ac:dyDescent="0.2">
      <c r="A33" t="s">
        <v>199</v>
      </c>
      <c r="B33">
        <v>122</v>
      </c>
      <c r="C33" s="52">
        <f t="shared" si="4"/>
        <v>5587.5999999999995</v>
      </c>
      <c r="D33" s="52">
        <f t="shared" si="5"/>
        <v>60609.600000000006</v>
      </c>
      <c r="E33" s="52">
        <f t="shared" si="6"/>
        <v>6441.6</v>
      </c>
      <c r="F33" s="55">
        <f t="shared" si="7"/>
        <v>67051.199999999997</v>
      </c>
    </row>
    <row r="34" spans="1:6" x14ac:dyDescent="0.2">
      <c r="A34" t="s">
        <v>198</v>
      </c>
      <c r="B34">
        <v>157</v>
      </c>
      <c r="C34" s="52">
        <f t="shared" si="4"/>
        <v>7190.5999999999995</v>
      </c>
      <c r="D34" s="52">
        <f t="shared" si="5"/>
        <v>77997.600000000006</v>
      </c>
      <c r="E34" s="52">
        <f t="shared" si="6"/>
        <v>8289.6</v>
      </c>
      <c r="F34" s="55">
        <f t="shared" si="7"/>
        <v>86287.2</v>
      </c>
    </row>
    <row r="35" spans="1:6" x14ac:dyDescent="0.2">
      <c r="A35" t="s">
        <v>197</v>
      </c>
      <c r="B35">
        <v>49</v>
      </c>
      <c r="C35" s="52">
        <f t="shared" si="4"/>
        <v>2244.1999999999998</v>
      </c>
      <c r="D35" s="52">
        <f t="shared" si="5"/>
        <v>24343.199999999997</v>
      </c>
      <c r="E35" s="52">
        <f t="shared" si="6"/>
        <v>2587.2000000000003</v>
      </c>
      <c r="F35" s="55">
        <f t="shared" si="7"/>
        <v>26930.399999999998</v>
      </c>
    </row>
    <row r="36" spans="1:6" x14ac:dyDescent="0.2">
      <c r="A36" t="s">
        <v>196</v>
      </c>
      <c r="B36">
        <v>32</v>
      </c>
      <c r="C36" s="52">
        <f t="shared" si="4"/>
        <v>1465.6</v>
      </c>
      <c r="D36" s="52">
        <f t="shared" si="5"/>
        <v>15897.599999999999</v>
      </c>
      <c r="E36" s="52">
        <f t="shared" si="6"/>
        <v>1689.6000000000001</v>
      </c>
      <c r="F36" s="55">
        <f t="shared" si="7"/>
        <v>17587.199999999997</v>
      </c>
    </row>
    <row r="37" spans="1:6" x14ac:dyDescent="0.2">
      <c r="A37" t="s">
        <v>195</v>
      </c>
      <c r="B37">
        <v>24</v>
      </c>
      <c r="C37" s="52">
        <f t="shared" si="4"/>
        <v>1099.1999999999998</v>
      </c>
      <c r="D37" s="52">
        <f t="shared" si="5"/>
        <v>11923.199999999999</v>
      </c>
      <c r="E37" s="52">
        <f t="shared" si="6"/>
        <v>1267.2</v>
      </c>
      <c r="F37" s="55">
        <f t="shared" si="7"/>
        <v>13190.399999999998</v>
      </c>
    </row>
    <row r="38" spans="1:6" x14ac:dyDescent="0.2">
      <c r="A38" t="s">
        <v>194</v>
      </c>
      <c r="B38">
        <v>34</v>
      </c>
      <c r="C38" s="52">
        <f t="shared" si="4"/>
        <v>1557.1999999999998</v>
      </c>
      <c r="D38" s="52">
        <f t="shared" si="5"/>
        <v>16891.199999999997</v>
      </c>
      <c r="E38" s="52">
        <f t="shared" si="6"/>
        <v>1795.2000000000003</v>
      </c>
      <c r="F38" s="55">
        <f t="shared" si="7"/>
        <v>18686.399999999998</v>
      </c>
    </row>
    <row r="39" spans="1:6" x14ac:dyDescent="0.2">
      <c r="A39" t="s">
        <v>193</v>
      </c>
      <c r="B39">
        <v>22</v>
      </c>
      <c r="C39" s="52">
        <f t="shared" si="4"/>
        <v>1007.5999999999999</v>
      </c>
      <c r="D39" s="52">
        <f t="shared" si="5"/>
        <v>10929.599999999999</v>
      </c>
      <c r="E39" s="52">
        <f t="shared" si="6"/>
        <v>1161.6000000000001</v>
      </c>
      <c r="F39" s="55">
        <f t="shared" si="7"/>
        <v>12091.199999999999</v>
      </c>
    </row>
    <row r="40" spans="1:6" x14ac:dyDescent="0.2">
      <c r="A40" t="s">
        <v>192</v>
      </c>
      <c r="B40">
        <v>42</v>
      </c>
      <c r="C40" s="52">
        <f t="shared" si="4"/>
        <v>1923.6</v>
      </c>
      <c r="D40" s="52">
        <f t="shared" si="5"/>
        <v>20865.599999999999</v>
      </c>
      <c r="E40" s="52">
        <f t="shared" si="6"/>
        <v>2217.6000000000004</v>
      </c>
      <c r="F40" s="55">
        <f t="shared" si="7"/>
        <v>23083.199999999997</v>
      </c>
    </row>
    <row r="41" spans="1:6" x14ac:dyDescent="0.2">
      <c r="A41" t="s">
        <v>191</v>
      </c>
      <c r="B41">
        <v>111</v>
      </c>
      <c r="C41" s="52">
        <f t="shared" si="4"/>
        <v>5083.7999999999993</v>
      </c>
      <c r="D41" s="52">
        <f t="shared" si="5"/>
        <v>55144.799999999996</v>
      </c>
      <c r="E41" s="52">
        <f t="shared" si="6"/>
        <v>5860.8</v>
      </c>
      <c r="F41" s="55">
        <f t="shared" si="7"/>
        <v>61005.599999999991</v>
      </c>
    </row>
    <row r="42" spans="1:6" x14ac:dyDescent="0.2">
      <c r="A42" t="s">
        <v>190</v>
      </c>
      <c r="B42">
        <v>42</v>
      </c>
      <c r="C42" s="52">
        <f t="shared" si="4"/>
        <v>1923.6</v>
      </c>
      <c r="D42" s="52">
        <f t="shared" si="5"/>
        <v>20865.599999999999</v>
      </c>
      <c r="E42" s="52">
        <f t="shared" si="6"/>
        <v>2217.6000000000004</v>
      </c>
      <c r="F42" s="55">
        <f t="shared" si="7"/>
        <v>23083.199999999997</v>
      </c>
    </row>
    <row r="43" spans="1:6" x14ac:dyDescent="0.2">
      <c r="A43" t="s">
        <v>189</v>
      </c>
      <c r="B43">
        <v>64</v>
      </c>
      <c r="C43" s="52">
        <f t="shared" si="4"/>
        <v>2931.2</v>
      </c>
      <c r="D43" s="52">
        <f t="shared" si="5"/>
        <v>31795.199999999997</v>
      </c>
      <c r="E43" s="52">
        <f t="shared" si="6"/>
        <v>3379.2000000000003</v>
      </c>
      <c r="F43" s="55">
        <f t="shared" si="7"/>
        <v>35174.399999999994</v>
      </c>
    </row>
    <row r="44" spans="1:6" x14ac:dyDescent="0.2">
      <c r="A44" t="s">
        <v>188</v>
      </c>
      <c r="B44">
        <v>4</v>
      </c>
      <c r="C44" s="52">
        <f t="shared" si="4"/>
        <v>183.2</v>
      </c>
      <c r="D44" s="52">
        <f t="shared" si="5"/>
        <v>1987.1999999999998</v>
      </c>
      <c r="E44" s="52">
        <f t="shared" si="6"/>
        <v>211.20000000000002</v>
      </c>
      <c r="F44" s="55">
        <f t="shared" si="7"/>
        <v>2198.3999999999996</v>
      </c>
    </row>
    <row r="45" spans="1:6" x14ac:dyDescent="0.2">
      <c r="A45" t="s">
        <v>187</v>
      </c>
      <c r="B45">
        <v>28</v>
      </c>
      <c r="C45" s="52">
        <f t="shared" si="4"/>
        <v>1282.3999999999999</v>
      </c>
      <c r="D45" s="52">
        <f t="shared" si="5"/>
        <v>13910.400000000001</v>
      </c>
      <c r="E45" s="52">
        <f t="shared" si="6"/>
        <v>1478.4</v>
      </c>
      <c r="F45" s="55">
        <f t="shared" si="7"/>
        <v>15388.8</v>
      </c>
    </row>
    <row r="46" spans="1:6" x14ac:dyDescent="0.2">
      <c r="A46" t="s">
        <v>186</v>
      </c>
      <c r="B46">
        <v>9</v>
      </c>
      <c r="C46" s="52">
        <f t="shared" si="4"/>
        <v>412.2</v>
      </c>
      <c r="D46" s="52">
        <f t="shared" si="5"/>
        <v>4471.2</v>
      </c>
      <c r="E46" s="52">
        <f t="shared" si="6"/>
        <v>475.20000000000005</v>
      </c>
      <c r="F46" s="55">
        <f t="shared" si="7"/>
        <v>4946.3999999999996</v>
      </c>
    </row>
    <row r="47" spans="1:6" x14ac:dyDescent="0.2">
      <c r="A47" t="s">
        <v>185</v>
      </c>
      <c r="B47">
        <v>140</v>
      </c>
      <c r="C47" s="52">
        <f t="shared" si="4"/>
        <v>6412</v>
      </c>
      <c r="D47" s="52">
        <f t="shared" si="5"/>
        <v>69552</v>
      </c>
      <c r="E47" s="52">
        <f t="shared" si="6"/>
        <v>7392</v>
      </c>
      <c r="F47" s="55">
        <f t="shared" si="7"/>
        <v>76944</v>
      </c>
    </row>
    <row r="48" spans="1:6" x14ac:dyDescent="0.2">
      <c r="A48" t="s">
        <v>184</v>
      </c>
      <c r="B48">
        <v>55</v>
      </c>
      <c r="C48" s="52">
        <f t="shared" si="4"/>
        <v>2519</v>
      </c>
      <c r="D48" s="52">
        <f t="shared" si="5"/>
        <v>27324</v>
      </c>
      <c r="E48" s="52">
        <f t="shared" si="6"/>
        <v>2904.0000000000005</v>
      </c>
      <c r="F48" s="55">
        <f t="shared" si="7"/>
        <v>30228</v>
      </c>
    </row>
    <row r="49" spans="1:6" x14ac:dyDescent="0.2">
      <c r="A49" t="s">
        <v>183</v>
      </c>
      <c r="B49">
        <v>72</v>
      </c>
      <c r="C49" s="52">
        <f t="shared" si="4"/>
        <v>3297.6</v>
      </c>
      <c r="D49" s="52">
        <f t="shared" si="5"/>
        <v>35769.599999999999</v>
      </c>
      <c r="E49" s="52">
        <f t="shared" si="6"/>
        <v>3801.6000000000004</v>
      </c>
      <c r="F49" s="55">
        <f t="shared" si="7"/>
        <v>39571.199999999997</v>
      </c>
    </row>
    <row r="50" spans="1:6" x14ac:dyDescent="0.2">
      <c r="A50" t="s">
        <v>182</v>
      </c>
      <c r="B50">
        <v>45</v>
      </c>
      <c r="C50" s="52">
        <f t="shared" si="4"/>
        <v>2061</v>
      </c>
      <c r="D50" s="52">
        <f t="shared" si="5"/>
        <v>22356</v>
      </c>
      <c r="E50" s="52">
        <f t="shared" si="6"/>
        <v>2376.0000000000005</v>
      </c>
      <c r="F50" s="55">
        <f t="shared" si="7"/>
        <v>24732</v>
      </c>
    </row>
    <row r="51" spans="1:6" x14ac:dyDescent="0.2">
      <c r="A51" t="s">
        <v>181</v>
      </c>
      <c r="B51">
        <v>28</v>
      </c>
      <c r="C51" s="52">
        <f t="shared" si="4"/>
        <v>1282.3999999999999</v>
      </c>
      <c r="D51" s="52">
        <f t="shared" si="5"/>
        <v>13910.400000000001</v>
      </c>
      <c r="E51" s="52">
        <f t="shared" si="6"/>
        <v>1478.4</v>
      </c>
      <c r="F51" s="55">
        <f t="shared" si="7"/>
        <v>15388.8</v>
      </c>
    </row>
    <row r="52" spans="1:6" x14ac:dyDescent="0.2">
      <c r="A52" t="s">
        <v>180</v>
      </c>
      <c r="B52">
        <v>66</v>
      </c>
      <c r="C52" s="52">
        <f t="shared" si="4"/>
        <v>3022.7999999999997</v>
      </c>
      <c r="D52" s="52">
        <f t="shared" si="5"/>
        <v>32788.800000000003</v>
      </c>
      <c r="E52" s="52">
        <f t="shared" si="6"/>
        <v>3484.8</v>
      </c>
      <c r="F52" s="55">
        <f t="shared" si="7"/>
        <v>36273.599999999999</v>
      </c>
    </row>
    <row r="53" spans="1:6" x14ac:dyDescent="0.2">
      <c r="A53" t="s">
        <v>179</v>
      </c>
      <c r="B53">
        <v>15</v>
      </c>
      <c r="C53" s="52">
        <f t="shared" si="4"/>
        <v>687</v>
      </c>
      <c r="D53" s="52">
        <f t="shared" si="5"/>
        <v>7452</v>
      </c>
      <c r="E53" s="52">
        <f t="shared" si="6"/>
        <v>792</v>
      </c>
      <c r="F53" s="55">
        <f t="shared" si="7"/>
        <v>8244</v>
      </c>
    </row>
    <row r="54" spans="1:6" x14ac:dyDescent="0.2">
      <c r="A54" t="s">
        <v>178</v>
      </c>
      <c r="B54">
        <v>59</v>
      </c>
      <c r="C54" s="52">
        <f t="shared" si="4"/>
        <v>2702.2</v>
      </c>
      <c r="D54" s="52">
        <f t="shared" si="5"/>
        <v>29311.199999999997</v>
      </c>
      <c r="E54" s="52">
        <f t="shared" si="6"/>
        <v>3115.2000000000003</v>
      </c>
      <c r="F54" s="55">
        <f t="shared" si="7"/>
        <v>32426.399999999998</v>
      </c>
    </row>
    <row r="55" spans="1:6" x14ac:dyDescent="0.2">
      <c r="A55" t="s">
        <v>177</v>
      </c>
      <c r="B55">
        <v>86</v>
      </c>
      <c r="C55" s="52">
        <f t="shared" si="4"/>
        <v>3938.7999999999997</v>
      </c>
      <c r="D55" s="52">
        <f t="shared" si="5"/>
        <v>42724.800000000003</v>
      </c>
      <c r="E55" s="52">
        <f t="shared" si="6"/>
        <v>4540.8</v>
      </c>
      <c r="F55" s="55">
        <f t="shared" si="7"/>
        <v>47265.599999999999</v>
      </c>
    </row>
    <row r="56" spans="1:6" x14ac:dyDescent="0.2">
      <c r="A56" t="s">
        <v>176</v>
      </c>
      <c r="B56">
        <v>65</v>
      </c>
      <c r="C56" s="52">
        <f t="shared" si="4"/>
        <v>2977</v>
      </c>
      <c r="D56" s="52">
        <f t="shared" si="5"/>
        <v>32292</v>
      </c>
      <c r="E56" s="52">
        <f t="shared" si="6"/>
        <v>3432</v>
      </c>
      <c r="F56" s="55">
        <f t="shared" si="7"/>
        <v>35724</v>
      </c>
    </row>
    <row r="57" spans="1:6" x14ac:dyDescent="0.2">
      <c r="A57" t="s">
        <v>175</v>
      </c>
      <c r="B57">
        <v>43</v>
      </c>
      <c r="C57" s="52">
        <f t="shared" si="4"/>
        <v>1969.3999999999999</v>
      </c>
      <c r="D57" s="52">
        <f t="shared" si="5"/>
        <v>21362.400000000001</v>
      </c>
      <c r="E57" s="52">
        <f t="shared" si="6"/>
        <v>2270.4</v>
      </c>
      <c r="F57" s="55">
        <f t="shared" si="7"/>
        <v>23632.799999999999</v>
      </c>
    </row>
    <row r="58" spans="1:6" x14ac:dyDescent="0.2">
      <c r="A58" t="s">
        <v>174</v>
      </c>
      <c r="B58">
        <v>204</v>
      </c>
      <c r="C58" s="52">
        <f t="shared" si="4"/>
        <v>9343.1999999999989</v>
      </c>
      <c r="D58" s="52">
        <f t="shared" si="5"/>
        <v>101347.20000000001</v>
      </c>
      <c r="E58" s="52">
        <f t="shared" si="6"/>
        <v>10771.2</v>
      </c>
      <c r="F58" s="55">
        <f t="shared" si="7"/>
        <v>112118.39999999999</v>
      </c>
    </row>
    <row r="59" spans="1:6" x14ac:dyDescent="0.2">
      <c r="A59" t="s">
        <v>173</v>
      </c>
      <c r="B59">
        <v>42</v>
      </c>
      <c r="C59" s="52">
        <f t="shared" si="4"/>
        <v>1923.6</v>
      </c>
      <c r="D59" s="52">
        <f t="shared" si="5"/>
        <v>20865.599999999999</v>
      </c>
      <c r="E59" s="52">
        <f t="shared" si="6"/>
        <v>2217.6000000000004</v>
      </c>
      <c r="F59" s="55">
        <f t="shared" si="7"/>
        <v>23083.199999999997</v>
      </c>
    </row>
    <row r="60" spans="1:6" x14ac:dyDescent="0.2">
      <c r="A60" t="s">
        <v>172</v>
      </c>
      <c r="B60">
        <v>87</v>
      </c>
      <c r="C60" s="52">
        <f t="shared" si="4"/>
        <v>3984.6</v>
      </c>
      <c r="D60" s="52">
        <f t="shared" si="5"/>
        <v>43221.599999999999</v>
      </c>
      <c r="E60" s="52">
        <f t="shared" si="6"/>
        <v>4593.6000000000004</v>
      </c>
      <c r="F60" s="55">
        <f t="shared" si="7"/>
        <v>47815.199999999997</v>
      </c>
    </row>
    <row r="61" spans="1:6" x14ac:dyDescent="0.2">
      <c r="A61" t="s">
        <v>171</v>
      </c>
      <c r="B61">
        <v>102</v>
      </c>
      <c r="C61" s="52">
        <f t="shared" si="4"/>
        <v>4671.5999999999995</v>
      </c>
      <c r="D61" s="52">
        <f t="shared" si="5"/>
        <v>50673.600000000006</v>
      </c>
      <c r="E61" s="52">
        <f t="shared" si="6"/>
        <v>5385.6</v>
      </c>
      <c r="F61" s="55">
        <f t="shared" si="7"/>
        <v>56059.199999999997</v>
      </c>
    </row>
    <row r="62" spans="1:6" x14ac:dyDescent="0.2">
      <c r="A62" t="s">
        <v>170</v>
      </c>
      <c r="B62">
        <v>3</v>
      </c>
      <c r="C62" s="52">
        <f t="shared" si="4"/>
        <v>137.39999999999998</v>
      </c>
      <c r="D62" s="52">
        <f t="shared" si="5"/>
        <v>1490.3999999999999</v>
      </c>
      <c r="E62" s="52">
        <f t="shared" si="6"/>
        <v>158.4</v>
      </c>
      <c r="F62" s="55">
        <f t="shared" si="7"/>
        <v>1648.7999999999997</v>
      </c>
    </row>
    <row r="63" spans="1:6" x14ac:dyDescent="0.2">
      <c r="A63" t="s">
        <v>169</v>
      </c>
      <c r="B63">
        <v>3</v>
      </c>
      <c r="C63" s="52">
        <f t="shared" si="4"/>
        <v>137.39999999999998</v>
      </c>
      <c r="D63" s="52">
        <f t="shared" si="5"/>
        <v>1490.3999999999999</v>
      </c>
      <c r="E63" s="52">
        <f t="shared" si="6"/>
        <v>158.4</v>
      </c>
      <c r="F63" s="55">
        <f t="shared" si="7"/>
        <v>1648.7999999999997</v>
      </c>
    </row>
    <row r="64" spans="1:6" x14ac:dyDescent="0.2">
      <c r="A64" t="s">
        <v>168</v>
      </c>
      <c r="B64">
        <v>3</v>
      </c>
      <c r="C64" s="52">
        <f t="shared" si="4"/>
        <v>137.39999999999998</v>
      </c>
      <c r="D64" s="52">
        <f t="shared" si="5"/>
        <v>1490.3999999999999</v>
      </c>
      <c r="E64" s="52">
        <f t="shared" si="6"/>
        <v>158.4</v>
      </c>
      <c r="F64" s="55">
        <f t="shared" si="7"/>
        <v>1648.7999999999997</v>
      </c>
    </row>
    <row r="65" spans="1:6" x14ac:dyDescent="0.2">
      <c r="A65" t="s">
        <v>167</v>
      </c>
      <c r="B65">
        <v>1</v>
      </c>
      <c r="C65" s="52">
        <f t="shared" si="4"/>
        <v>45.8</v>
      </c>
      <c r="D65" s="52">
        <f t="shared" si="5"/>
        <v>496.79999999999995</v>
      </c>
      <c r="E65" s="52">
        <f t="shared" si="6"/>
        <v>52.800000000000004</v>
      </c>
      <c r="F65" s="55">
        <f t="shared" si="7"/>
        <v>549.59999999999991</v>
      </c>
    </row>
    <row r="66" spans="1:6" x14ac:dyDescent="0.2">
      <c r="A66" s="1" t="s">
        <v>166</v>
      </c>
      <c r="B66" s="1">
        <f>SUM(B29:B65)</f>
        <v>2083</v>
      </c>
      <c r="C66" s="53">
        <f>SUM(C29:C65)</f>
        <v>95401.39999999998</v>
      </c>
      <c r="D66" s="53">
        <f>SUM(D29:D65)</f>
        <v>1034834.4000000001</v>
      </c>
      <c r="E66" s="53">
        <f>SUM(E29:E65)</f>
        <v>109982.39999999998</v>
      </c>
      <c r="F66" s="57">
        <f>SUM(F29:F65)</f>
        <v>1144816.8000000003</v>
      </c>
    </row>
    <row r="67" spans="1:6" x14ac:dyDescent="0.2">
      <c r="A67" s="1"/>
      <c r="B67" s="1"/>
      <c r="C67" s="53"/>
      <c r="D67" s="53"/>
      <c r="E67" s="53"/>
      <c r="F67" s="57"/>
    </row>
    <row r="68" spans="1:6" x14ac:dyDescent="0.2">
      <c r="A68" s="1" t="s">
        <v>165</v>
      </c>
      <c r="B68" s="1">
        <f>SUM(B24+B66)</f>
        <v>3214</v>
      </c>
      <c r="C68" s="53">
        <f>SUM(C24+C66)</f>
        <v>124298.44999999998</v>
      </c>
      <c r="D68" s="53">
        <f>SUM(D24+D66)</f>
        <v>1321882.2000000002</v>
      </c>
      <c r="E68" s="53">
        <f>SUM(E24+E66)</f>
        <v>169699.19999999998</v>
      </c>
      <c r="F68" s="53">
        <f>SUM(F24+F66)</f>
        <v>1491581.4000000004</v>
      </c>
    </row>
    <row r="69" spans="1:6" x14ac:dyDescent="0.2">
      <c r="A69" s="1"/>
      <c r="B69" s="1"/>
      <c r="C69" s="53"/>
      <c r="D69" s="53"/>
      <c r="E69" s="53"/>
      <c r="F69" s="1"/>
    </row>
    <row r="70" spans="1:6" x14ac:dyDescent="0.2">
      <c r="A70" s="1" t="s">
        <v>164</v>
      </c>
      <c r="B70" s="1"/>
      <c r="C70" s="53"/>
      <c r="D70" s="53"/>
      <c r="E70" s="53"/>
      <c r="F70" s="1"/>
    </row>
    <row r="71" spans="1:6" x14ac:dyDescent="0.2">
      <c r="A71" s="30" t="s">
        <v>163</v>
      </c>
      <c r="B71" s="1"/>
      <c r="C71" s="53"/>
      <c r="D71" s="53"/>
      <c r="E71" s="53"/>
      <c r="F71" s="53">
        <f>+'income &amp; expenses'!L10</f>
        <v>12000</v>
      </c>
    </row>
    <row r="72" spans="1:6" x14ac:dyDescent="0.2">
      <c r="A72" t="s">
        <v>162</v>
      </c>
      <c r="B72">
        <v>1</v>
      </c>
      <c r="C72" s="53"/>
      <c r="D72" s="52"/>
      <c r="E72" s="52"/>
      <c r="F72" s="53">
        <f>+'income &amp; expenses'!L13</f>
        <v>21754</v>
      </c>
    </row>
    <row r="73" spans="1:6" x14ac:dyDescent="0.2">
      <c r="A73" s="30" t="s">
        <v>161</v>
      </c>
      <c r="B73" s="30">
        <v>1</v>
      </c>
      <c r="C73" s="53"/>
      <c r="D73" s="53"/>
      <c r="E73" s="53"/>
      <c r="F73" s="53">
        <f>+'income &amp; expenses'!L12</f>
        <v>72187</v>
      </c>
    </row>
    <row r="74" spans="1:6" x14ac:dyDescent="0.2">
      <c r="A74" s="1" t="s">
        <v>160</v>
      </c>
      <c r="B74" s="1"/>
      <c r="C74" s="53"/>
      <c r="D74" s="53"/>
      <c r="E74" s="53"/>
      <c r="F74" s="57">
        <f>SUM(F68:F73)-E68</f>
        <v>1427823.2000000004</v>
      </c>
    </row>
    <row r="75" spans="1:6" x14ac:dyDescent="0.2">
      <c r="A75" s="56" t="s">
        <v>159</v>
      </c>
      <c r="C75" s="52"/>
      <c r="D75" s="52"/>
      <c r="E75" s="52"/>
      <c r="F75" s="52">
        <f>+'income &amp; expenses'!L62</f>
        <v>1416677</v>
      </c>
    </row>
    <row r="76" spans="1:6" x14ac:dyDescent="0.2">
      <c r="A76" s="30" t="s">
        <v>158</v>
      </c>
      <c r="C76" s="52"/>
      <c r="D76" s="52"/>
      <c r="E76" s="52"/>
      <c r="F76" s="55">
        <f>SUM(F74-F75)</f>
        <v>11146.200000000419</v>
      </c>
    </row>
  </sheetData>
  <sheetProtection algorithmName="SHA-512" hashValue="dV1DFAsojXlq7EKrOxjkOsN5nLuwBoSJjHIDOX3tXtUcsEUFXWUPBJRESE8lzsCzOVDTOqqoFbQXcb1Pn2HboQ==" saltValue="OxH5ra9HILq8+Exj6urv7g==" spinCount="100000" sheet="1" objects="1" scenarios="1"/>
  <pageMargins left="0.7" right="0.7" top="0.75" bottom="0.75" header="0.3" footer="0.3"/>
  <pageSetup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6"/>
  <sheetViews>
    <sheetView topLeftCell="A42" workbookViewId="0">
      <selection activeCell="E3" sqref="E3"/>
    </sheetView>
  </sheetViews>
  <sheetFormatPr defaultRowHeight="12.75" x14ac:dyDescent="0.2"/>
  <cols>
    <col min="1" max="1" width="24.85546875" customWidth="1"/>
    <col min="3" max="3" width="12.28515625" bestFit="1" customWidth="1"/>
    <col min="4" max="4" width="14.42578125" bestFit="1" customWidth="1"/>
    <col min="5" max="5" width="13.85546875" bestFit="1" customWidth="1"/>
    <col min="6" max="6" width="16.7109375" bestFit="1" customWidth="1"/>
  </cols>
  <sheetData>
    <row r="1" spans="1:10" x14ac:dyDescent="0.2">
      <c r="C1" s="52"/>
      <c r="D1" s="52"/>
      <c r="E1" s="52"/>
    </row>
    <row r="2" spans="1:10" x14ac:dyDescent="0.2">
      <c r="A2" s="1"/>
      <c r="B2" s="1"/>
      <c r="C2" s="52">
        <v>27.2</v>
      </c>
      <c r="D2" s="52">
        <f>+C2-E2</f>
        <v>22.6</v>
      </c>
      <c r="E2" s="52">
        <v>4.5999999999999996</v>
      </c>
      <c r="F2" s="111" t="s">
        <v>265</v>
      </c>
      <c r="I2" s="112">
        <v>6.5000000000000002E-2</v>
      </c>
      <c r="J2" s="30" t="s">
        <v>266</v>
      </c>
    </row>
    <row r="3" spans="1:10" x14ac:dyDescent="0.2">
      <c r="A3" s="2" t="s">
        <v>236</v>
      </c>
      <c r="B3" s="2" t="s">
        <v>213</v>
      </c>
      <c r="C3" s="58" t="s">
        <v>212</v>
      </c>
      <c r="D3" s="58" t="s">
        <v>211</v>
      </c>
      <c r="E3" s="58" t="s">
        <v>210</v>
      </c>
      <c r="F3" s="58" t="s">
        <v>209</v>
      </c>
    </row>
    <row r="4" spans="1:10" x14ac:dyDescent="0.2">
      <c r="A4" s="2" t="s">
        <v>208</v>
      </c>
      <c r="B4" s="2" t="s">
        <v>207</v>
      </c>
      <c r="C4" s="58" t="s">
        <v>206</v>
      </c>
      <c r="D4" s="58" t="s">
        <v>235</v>
      </c>
      <c r="E4" s="58" t="s">
        <v>204</v>
      </c>
      <c r="F4" s="2" t="s">
        <v>203</v>
      </c>
    </row>
    <row r="5" spans="1:10" x14ac:dyDescent="0.2">
      <c r="A5" t="s">
        <v>234</v>
      </c>
      <c r="C5" s="52"/>
      <c r="D5" s="52"/>
      <c r="E5" s="52"/>
      <c r="F5" s="55"/>
    </row>
    <row r="6" spans="1:10" x14ac:dyDescent="0.2">
      <c r="A6" t="s">
        <v>233</v>
      </c>
      <c r="C6" s="52"/>
      <c r="D6" s="52"/>
      <c r="E6" s="52"/>
      <c r="F6" s="55"/>
    </row>
    <row r="7" spans="1:10" x14ac:dyDescent="0.2">
      <c r="A7" t="s">
        <v>232</v>
      </c>
      <c r="B7">
        <v>72</v>
      </c>
      <c r="C7" s="52">
        <f>SUM($C$2*B7)</f>
        <v>1958.3999999999999</v>
      </c>
      <c r="D7" s="52">
        <f>SUM($D$2*B7*12)</f>
        <v>19526.400000000001</v>
      </c>
      <c r="E7" s="52">
        <f>SUM($E$2*12*B7)</f>
        <v>3974.3999999999996</v>
      </c>
      <c r="F7" s="55">
        <f>SUM(C7*12)</f>
        <v>23500.799999999999</v>
      </c>
    </row>
    <row r="8" spans="1:10" x14ac:dyDescent="0.2">
      <c r="A8" t="s">
        <v>231</v>
      </c>
      <c r="C8" s="52"/>
      <c r="D8" s="52"/>
      <c r="E8" s="52"/>
      <c r="F8" s="55"/>
    </row>
    <row r="9" spans="1:10" x14ac:dyDescent="0.2">
      <c r="A9" t="s">
        <v>230</v>
      </c>
      <c r="B9">
        <v>104</v>
      </c>
      <c r="C9" s="52">
        <f>SUM($C$2*B9)</f>
        <v>2828.7999999999997</v>
      </c>
      <c r="D9" s="52">
        <f>SUM($D$2*B9*12)</f>
        <v>28204.800000000003</v>
      </c>
      <c r="E9" s="52">
        <f>SUM($E$2*12*B9)</f>
        <v>5740.7999999999993</v>
      </c>
      <c r="F9" s="55">
        <f>SUM(C9*12)</f>
        <v>33945.599999999999</v>
      </c>
      <c r="H9" s="30"/>
    </row>
    <row r="10" spans="1:10" x14ac:dyDescent="0.2">
      <c r="A10" t="s">
        <v>229</v>
      </c>
      <c r="B10">
        <v>80</v>
      </c>
      <c r="C10" s="52">
        <f>SUM($C$2*B10)</f>
        <v>2176</v>
      </c>
      <c r="D10" s="52">
        <f>SUM($D$2*B10*12)</f>
        <v>21696</v>
      </c>
      <c r="E10" s="52">
        <f>SUM($E$2*12*B10)</f>
        <v>4416</v>
      </c>
      <c r="F10" s="55">
        <f>SUM(C10*12)</f>
        <v>26112</v>
      </c>
    </row>
    <row r="11" spans="1:10" x14ac:dyDescent="0.2">
      <c r="A11" t="s">
        <v>228</v>
      </c>
      <c r="C11" s="52"/>
      <c r="D11" s="52"/>
      <c r="E11" s="52"/>
      <c r="F11" s="55"/>
    </row>
    <row r="12" spans="1:10" x14ac:dyDescent="0.2">
      <c r="A12" t="s">
        <v>227</v>
      </c>
      <c r="B12">
        <v>124</v>
      </c>
      <c r="C12" s="52">
        <f>SUM($C$2*B12)</f>
        <v>3372.7999999999997</v>
      </c>
      <c r="D12" s="52">
        <f>SUM($D$2*B12*12)</f>
        <v>33628.800000000003</v>
      </c>
      <c r="E12" s="52">
        <f>SUM($E$2*12*B12)</f>
        <v>6844.7999999999993</v>
      </c>
      <c r="F12" s="55">
        <f>SUM(C12*12)</f>
        <v>40473.599999999999</v>
      </c>
    </row>
    <row r="13" spans="1:10" x14ac:dyDescent="0.2">
      <c r="A13" t="s">
        <v>226</v>
      </c>
      <c r="C13" s="52"/>
      <c r="D13" s="52"/>
      <c r="E13" s="52"/>
      <c r="F13" s="55"/>
    </row>
    <row r="14" spans="1:10" x14ac:dyDescent="0.2">
      <c r="A14" t="s">
        <v>225</v>
      </c>
      <c r="B14">
        <v>132</v>
      </c>
      <c r="C14" s="52">
        <f t="shared" ref="C14:C21" si="0">SUM($C$2*B14)</f>
        <v>3590.4</v>
      </c>
      <c r="D14" s="52">
        <f t="shared" ref="D14:D21" si="1">SUM($D$2*B14*12)</f>
        <v>35798.400000000001</v>
      </c>
      <c r="E14" s="52">
        <f t="shared" ref="E14:E21" si="2">SUM($E$2*12*B14)</f>
        <v>7286.4</v>
      </c>
      <c r="F14" s="55">
        <f t="shared" ref="F14:F21" si="3">SUM(C14*12)</f>
        <v>43084.800000000003</v>
      </c>
    </row>
    <row r="15" spans="1:10" x14ac:dyDescent="0.2">
      <c r="A15" t="s">
        <v>224</v>
      </c>
      <c r="B15">
        <v>28</v>
      </c>
      <c r="C15" s="52">
        <f t="shared" si="0"/>
        <v>761.6</v>
      </c>
      <c r="D15" s="52">
        <f t="shared" si="1"/>
        <v>7593.6</v>
      </c>
      <c r="E15" s="52">
        <f t="shared" si="2"/>
        <v>1545.6</v>
      </c>
      <c r="F15" s="55">
        <f t="shared" si="3"/>
        <v>9139.2000000000007</v>
      </c>
    </row>
    <row r="16" spans="1:10" x14ac:dyDescent="0.2">
      <c r="A16" t="s">
        <v>223</v>
      </c>
      <c r="B16">
        <v>34</v>
      </c>
      <c r="C16" s="52">
        <f t="shared" si="0"/>
        <v>924.8</v>
      </c>
      <c r="D16" s="52">
        <f t="shared" si="1"/>
        <v>9220.8000000000011</v>
      </c>
      <c r="E16" s="52">
        <f t="shared" si="2"/>
        <v>1876.8</v>
      </c>
      <c r="F16" s="55">
        <f t="shared" si="3"/>
        <v>11097.599999999999</v>
      </c>
    </row>
    <row r="17" spans="1:10" x14ac:dyDescent="0.2">
      <c r="A17" t="s">
        <v>222</v>
      </c>
      <c r="B17">
        <v>35</v>
      </c>
      <c r="C17" s="52">
        <f t="shared" si="0"/>
        <v>952</v>
      </c>
      <c r="D17" s="52">
        <f t="shared" si="1"/>
        <v>9492</v>
      </c>
      <c r="E17" s="52">
        <f t="shared" si="2"/>
        <v>1931.9999999999998</v>
      </c>
      <c r="F17" s="55">
        <f t="shared" si="3"/>
        <v>11424</v>
      </c>
    </row>
    <row r="18" spans="1:10" x14ac:dyDescent="0.2">
      <c r="A18" t="s">
        <v>221</v>
      </c>
      <c r="B18">
        <v>99</v>
      </c>
      <c r="C18" s="52">
        <f t="shared" si="0"/>
        <v>2692.7999999999997</v>
      </c>
      <c r="D18" s="52">
        <f t="shared" si="1"/>
        <v>26848.800000000003</v>
      </c>
      <c r="E18" s="52">
        <f t="shared" si="2"/>
        <v>5464.7999999999993</v>
      </c>
      <c r="F18" s="55">
        <f t="shared" si="3"/>
        <v>32313.599999999999</v>
      </c>
    </row>
    <row r="19" spans="1:10" x14ac:dyDescent="0.2">
      <c r="A19" t="s">
        <v>220</v>
      </c>
      <c r="B19">
        <v>77</v>
      </c>
      <c r="C19" s="52">
        <f t="shared" si="0"/>
        <v>2094.4</v>
      </c>
      <c r="D19" s="52">
        <f t="shared" si="1"/>
        <v>20882.400000000001</v>
      </c>
      <c r="E19" s="52">
        <f t="shared" si="2"/>
        <v>4250.3999999999996</v>
      </c>
      <c r="F19" s="55">
        <f t="shared" si="3"/>
        <v>25132.800000000003</v>
      </c>
    </row>
    <row r="20" spans="1:10" x14ac:dyDescent="0.2">
      <c r="A20" t="s">
        <v>219</v>
      </c>
      <c r="B20">
        <v>33</v>
      </c>
      <c r="C20" s="52">
        <f t="shared" si="0"/>
        <v>897.6</v>
      </c>
      <c r="D20" s="52">
        <f t="shared" si="1"/>
        <v>8949.6</v>
      </c>
      <c r="E20" s="52">
        <f t="shared" si="2"/>
        <v>1821.6</v>
      </c>
      <c r="F20" s="55">
        <f t="shared" si="3"/>
        <v>10771.2</v>
      </c>
    </row>
    <row r="21" spans="1:10" x14ac:dyDescent="0.2">
      <c r="A21" t="s">
        <v>218</v>
      </c>
      <c r="B21">
        <v>67</v>
      </c>
      <c r="C21" s="52">
        <f t="shared" si="0"/>
        <v>1822.3999999999999</v>
      </c>
      <c r="D21" s="52">
        <f t="shared" si="1"/>
        <v>18170.400000000001</v>
      </c>
      <c r="E21" s="52">
        <f t="shared" si="2"/>
        <v>3698.3999999999996</v>
      </c>
      <c r="F21" s="55">
        <f t="shared" si="3"/>
        <v>21868.799999999999</v>
      </c>
    </row>
    <row r="22" spans="1:10" x14ac:dyDescent="0.2">
      <c r="A22" t="s">
        <v>217</v>
      </c>
      <c r="C22" s="52"/>
      <c r="D22" s="52"/>
      <c r="E22" s="52"/>
      <c r="F22" s="55"/>
    </row>
    <row r="23" spans="1:10" x14ac:dyDescent="0.2">
      <c r="A23" t="s">
        <v>216</v>
      </c>
      <c r="B23">
        <v>246</v>
      </c>
      <c r="C23" s="52">
        <f>SUM($C$2*B23)</f>
        <v>6691.2</v>
      </c>
      <c r="D23" s="52">
        <f>SUM($D$2*B23*12)</f>
        <v>66715.200000000012</v>
      </c>
      <c r="E23" s="52">
        <f>SUM($E$2*12*B23)</f>
        <v>13579.199999999999</v>
      </c>
      <c r="F23" s="55">
        <f>SUM(C23*12)</f>
        <v>80294.399999999994</v>
      </c>
    </row>
    <row r="24" spans="1:10" x14ac:dyDescent="0.2">
      <c r="A24" s="1" t="s">
        <v>215</v>
      </c>
      <c r="B24" s="1">
        <f>SUM(B5:B23)</f>
        <v>1131</v>
      </c>
      <c r="C24" s="53">
        <f>SUM(C5:C23)</f>
        <v>30763.200000000001</v>
      </c>
      <c r="D24" s="53">
        <f>SUM(D5:D23)</f>
        <v>306727.20000000007</v>
      </c>
      <c r="E24" s="53">
        <f>SUM(E5:E23)</f>
        <v>62431.19999999999</v>
      </c>
      <c r="F24" s="57">
        <f>SUM(C24*12)</f>
        <v>369158.40000000002</v>
      </c>
    </row>
    <row r="25" spans="1:10" x14ac:dyDescent="0.2">
      <c r="A25" s="1"/>
      <c r="B25" s="1"/>
      <c r="C25" s="53"/>
      <c r="D25" s="53"/>
      <c r="E25" s="53"/>
      <c r="F25" s="57"/>
    </row>
    <row r="26" spans="1:10" x14ac:dyDescent="0.2">
      <c r="A26" s="1"/>
      <c r="B26" s="1"/>
      <c r="C26" s="52">
        <v>50.4</v>
      </c>
      <c r="D26" s="54">
        <f>+C26-E26</f>
        <v>45.8</v>
      </c>
      <c r="E26" s="54">
        <f>+E2</f>
        <v>4.5999999999999996</v>
      </c>
      <c r="F26" s="59"/>
      <c r="I26" s="112">
        <v>0.1</v>
      </c>
      <c r="J26" s="30" t="s">
        <v>266</v>
      </c>
    </row>
    <row r="27" spans="1:10" x14ac:dyDescent="0.2">
      <c r="A27" s="2" t="s">
        <v>214</v>
      </c>
      <c r="B27" s="2" t="s">
        <v>213</v>
      </c>
      <c r="C27" s="58" t="s">
        <v>212</v>
      </c>
      <c r="D27" s="58" t="s">
        <v>211</v>
      </c>
      <c r="E27" s="58" t="s">
        <v>210</v>
      </c>
      <c r="F27" s="58" t="s">
        <v>209</v>
      </c>
    </row>
    <row r="28" spans="1:10" x14ac:dyDescent="0.2">
      <c r="A28" s="2" t="s">
        <v>208</v>
      </c>
      <c r="B28" s="2" t="s">
        <v>207</v>
      </c>
      <c r="C28" s="58" t="s">
        <v>206</v>
      </c>
      <c r="D28" s="58" t="s">
        <v>205</v>
      </c>
      <c r="E28" s="58" t="s">
        <v>204</v>
      </c>
      <c r="F28" s="2" t="s">
        <v>203</v>
      </c>
    </row>
    <row r="29" spans="1:10" x14ac:dyDescent="0.2">
      <c r="A29" t="s">
        <v>202</v>
      </c>
      <c r="B29">
        <v>165</v>
      </c>
      <c r="C29" s="52">
        <f t="shared" ref="C29:C65" si="4">SUM($C$26*B29)</f>
        <v>8316</v>
      </c>
      <c r="D29" s="52">
        <f t="shared" ref="D29:D65" si="5">SUM($D$26*B29*12)</f>
        <v>90683.999999999985</v>
      </c>
      <c r="E29" s="52">
        <f t="shared" ref="E29:E65" si="6">SUM($E$26*B29*12)</f>
        <v>9107.9999999999982</v>
      </c>
      <c r="F29" s="55">
        <f t="shared" ref="F29:F65" si="7">SUM(C29*12)</f>
        <v>99792</v>
      </c>
    </row>
    <row r="30" spans="1:10" x14ac:dyDescent="0.2">
      <c r="A30" t="s">
        <v>201</v>
      </c>
      <c r="B30">
        <v>3</v>
      </c>
      <c r="C30" s="52">
        <f t="shared" si="4"/>
        <v>151.19999999999999</v>
      </c>
      <c r="D30" s="52">
        <f t="shared" si="5"/>
        <v>1648.7999999999997</v>
      </c>
      <c r="E30" s="52">
        <f t="shared" si="6"/>
        <v>165.6</v>
      </c>
      <c r="F30" s="55">
        <f t="shared" si="7"/>
        <v>1814.3999999999999</v>
      </c>
    </row>
    <row r="31" spans="1:10" x14ac:dyDescent="0.2">
      <c r="A31" t="s">
        <v>250</v>
      </c>
      <c r="B31">
        <v>12</v>
      </c>
      <c r="C31" s="52">
        <f t="shared" si="4"/>
        <v>604.79999999999995</v>
      </c>
      <c r="D31" s="52">
        <f t="shared" si="5"/>
        <v>6595.1999999999989</v>
      </c>
      <c r="E31" s="52">
        <f t="shared" si="6"/>
        <v>662.4</v>
      </c>
      <c r="F31" s="55">
        <f t="shared" si="7"/>
        <v>7257.5999999999995</v>
      </c>
    </row>
    <row r="32" spans="1:10" x14ac:dyDescent="0.2">
      <c r="A32" t="s">
        <v>200</v>
      </c>
      <c r="B32">
        <v>50</v>
      </c>
      <c r="C32" s="52">
        <f t="shared" si="4"/>
        <v>2520</v>
      </c>
      <c r="D32" s="52">
        <f t="shared" si="5"/>
        <v>27480</v>
      </c>
      <c r="E32" s="52">
        <f t="shared" si="6"/>
        <v>2759.9999999999995</v>
      </c>
      <c r="F32" s="55">
        <f t="shared" si="7"/>
        <v>30240</v>
      </c>
    </row>
    <row r="33" spans="1:6" x14ac:dyDescent="0.2">
      <c r="A33" t="s">
        <v>199</v>
      </c>
      <c r="B33">
        <v>122</v>
      </c>
      <c r="C33" s="52">
        <f t="shared" si="4"/>
        <v>6148.8</v>
      </c>
      <c r="D33" s="52">
        <f t="shared" si="5"/>
        <v>67051.199999999997</v>
      </c>
      <c r="E33" s="52">
        <f t="shared" si="6"/>
        <v>6734.4</v>
      </c>
      <c r="F33" s="55">
        <f t="shared" si="7"/>
        <v>73785.600000000006</v>
      </c>
    </row>
    <row r="34" spans="1:6" x14ac:dyDescent="0.2">
      <c r="A34" t="s">
        <v>198</v>
      </c>
      <c r="B34">
        <v>157</v>
      </c>
      <c r="C34" s="52">
        <f t="shared" si="4"/>
        <v>7912.8</v>
      </c>
      <c r="D34" s="52">
        <f t="shared" si="5"/>
        <v>86287.2</v>
      </c>
      <c r="E34" s="52">
        <f t="shared" si="6"/>
        <v>8666.4</v>
      </c>
      <c r="F34" s="55">
        <f t="shared" si="7"/>
        <v>94953.600000000006</v>
      </c>
    </row>
    <row r="35" spans="1:6" x14ac:dyDescent="0.2">
      <c r="A35" t="s">
        <v>197</v>
      </c>
      <c r="B35">
        <v>49</v>
      </c>
      <c r="C35" s="52">
        <f t="shared" si="4"/>
        <v>2469.6</v>
      </c>
      <c r="D35" s="52">
        <f t="shared" si="5"/>
        <v>26930.399999999998</v>
      </c>
      <c r="E35" s="52">
        <f t="shared" si="6"/>
        <v>2704.7999999999997</v>
      </c>
      <c r="F35" s="55">
        <f t="shared" si="7"/>
        <v>29635.199999999997</v>
      </c>
    </row>
    <row r="36" spans="1:6" x14ac:dyDescent="0.2">
      <c r="A36" t="s">
        <v>196</v>
      </c>
      <c r="B36">
        <v>32</v>
      </c>
      <c r="C36" s="52">
        <f t="shared" si="4"/>
        <v>1612.8</v>
      </c>
      <c r="D36" s="52">
        <f t="shared" si="5"/>
        <v>17587.199999999997</v>
      </c>
      <c r="E36" s="52">
        <f t="shared" si="6"/>
        <v>1766.3999999999999</v>
      </c>
      <c r="F36" s="55">
        <f t="shared" si="7"/>
        <v>19353.599999999999</v>
      </c>
    </row>
    <row r="37" spans="1:6" x14ac:dyDescent="0.2">
      <c r="A37" t="s">
        <v>195</v>
      </c>
      <c r="B37">
        <v>24</v>
      </c>
      <c r="C37" s="52">
        <f t="shared" si="4"/>
        <v>1209.5999999999999</v>
      </c>
      <c r="D37" s="52">
        <f t="shared" si="5"/>
        <v>13190.399999999998</v>
      </c>
      <c r="E37" s="52">
        <f t="shared" si="6"/>
        <v>1324.8</v>
      </c>
      <c r="F37" s="55">
        <f t="shared" si="7"/>
        <v>14515.199999999999</v>
      </c>
    </row>
    <row r="38" spans="1:6" x14ac:dyDescent="0.2">
      <c r="A38" t="s">
        <v>194</v>
      </c>
      <c r="B38">
        <v>34</v>
      </c>
      <c r="C38" s="52">
        <f t="shared" si="4"/>
        <v>1713.6</v>
      </c>
      <c r="D38" s="52">
        <f t="shared" si="5"/>
        <v>18686.399999999998</v>
      </c>
      <c r="E38" s="52">
        <f t="shared" si="6"/>
        <v>1876.7999999999997</v>
      </c>
      <c r="F38" s="55">
        <f t="shared" si="7"/>
        <v>20563.199999999997</v>
      </c>
    </row>
    <row r="39" spans="1:6" x14ac:dyDescent="0.2">
      <c r="A39" t="s">
        <v>193</v>
      </c>
      <c r="B39">
        <v>22</v>
      </c>
      <c r="C39" s="52">
        <f t="shared" si="4"/>
        <v>1108.8</v>
      </c>
      <c r="D39" s="52">
        <f t="shared" si="5"/>
        <v>12091.199999999999</v>
      </c>
      <c r="E39" s="52">
        <f t="shared" si="6"/>
        <v>1214.3999999999999</v>
      </c>
      <c r="F39" s="55">
        <f t="shared" si="7"/>
        <v>13305.599999999999</v>
      </c>
    </row>
    <row r="40" spans="1:6" x14ac:dyDescent="0.2">
      <c r="A40" t="s">
        <v>192</v>
      </c>
      <c r="B40">
        <v>42</v>
      </c>
      <c r="C40" s="52">
        <f t="shared" si="4"/>
        <v>2116.7999999999997</v>
      </c>
      <c r="D40" s="52">
        <f t="shared" si="5"/>
        <v>23083.199999999997</v>
      </c>
      <c r="E40" s="52">
        <f t="shared" si="6"/>
        <v>2318.3999999999996</v>
      </c>
      <c r="F40" s="55">
        <f t="shared" si="7"/>
        <v>25401.599999999999</v>
      </c>
    </row>
    <row r="41" spans="1:6" x14ac:dyDescent="0.2">
      <c r="A41" t="s">
        <v>191</v>
      </c>
      <c r="B41">
        <v>111</v>
      </c>
      <c r="C41" s="52">
        <f t="shared" si="4"/>
        <v>5594.4</v>
      </c>
      <c r="D41" s="52">
        <f t="shared" si="5"/>
        <v>61005.599999999991</v>
      </c>
      <c r="E41" s="52">
        <f t="shared" si="6"/>
        <v>6127.2</v>
      </c>
      <c r="F41" s="55">
        <f t="shared" si="7"/>
        <v>67132.799999999988</v>
      </c>
    </row>
    <row r="42" spans="1:6" x14ac:dyDescent="0.2">
      <c r="A42" t="s">
        <v>190</v>
      </c>
      <c r="B42">
        <v>42</v>
      </c>
      <c r="C42" s="52">
        <f t="shared" si="4"/>
        <v>2116.7999999999997</v>
      </c>
      <c r="D42" s="52">
        <f t="shared" si="5"/>
        <v>23083.199999999997</v>
      </c>
      <c r="E42" s="52">
        <f t="shared" si="6"/>
        <v>2318.3999999999996</v>
      </c>
      <c r="F42" s="55">
        <f t="shared" si="7"/>
        <v>25401.599999999999</v>
      </c>
    </row>
    <row r="43" spans="1:6" x14ac:dyDescent="0.2">
      <c r="A43" t="s">
        <v>189</v>
      </c>
      <c r="B43">
        <v>64</v>
      </c>
      <c r="C43" s="52">
        <f t="shared" si="4"/>
        <v>3225.6</v>
      </c>
      <c r="D43" s="52">
        <f t="shared" si="5"/>
        <v>35174.399999999994</v>
      </c>
      <c r="E43" s="52">
        <f t="shared" si="6"/>
        <v>3532.7999999999997</v>
      </c>
      <c r="F43" s="55">
        <f t="shared" si="7"/>
        <v>38707.199999999997</v>
      </c>
    </row>
    <row r="44" spans="1:6" x14ac:dyDescent="0.2">
      <c r="A44" t="s">
        <v>188</v>
      </c>
      <c r="B44">
        <v>4</v>
      </c>
      <c r="C44" s="52">
        <f t="shared" si="4"/>
        <v>201.6</v>
      </c>
      <c r="D44" s="52">
        <f t="shared" si="5"/>
        <v>2198.3999999999996</v>
      </c>
      <c r="E44" s="52">
        <f t="shared" si="6"/>
        <v>220.79999999999998</v>
      </c>
      <c r="F44" s="55">
        <f t="shared" si="7"/>
        <v>2419.1999999999998</v>
      </c>
    </row>
    <row r="45" spans="1:6" x14ac:dyDescent="0.2">
      <c r="A45" t="s">
        <v>187</v>
      </c>
      <c r="B45">
        <v>28</v>
      </c>
      <c r="C45" s="52">
        <f t="shared" si="4"/>
        <v>1411.2</v>
      </c>
      <c r="D45" s="52">
        <f t="shared" si="5"/>
        <v>15388.8</v>
      </c>
      <c r="E45" s="52">
        <f t="shared" si="6"/>
        <v>1545.6</v>
      </c>
      <c r="F45" s="55">
        <f t="shared" si="7"/>
        <v>16934.400000000001</v>
      </c>
    </row>
    <row r="46" spans="1:6" x14ac:dyDescent="0.2">
      <c r="A46" t="s">
        <v>186</v>
      </c>
      <c r="B46">
        <v>9</v>
      </c>
      <c r="C46" s="52">
        <f t="shared" si="4"/>
        <v>453.59999999999997</v>
      </c>
      <c r="D46" s="52">
        <f t="shared" si="5"/>
        <v>4946.3999999999996</v>
      </c>
      <c r="E46" s="52">
        <f t="shared" si="6"/>
        <v>496.79999999999995</v>
      </c>
      <c r="F46" s="55">
        <f t="shared" si="7"/>
        <v>5443.2</v>
      </c>
    </row>
    <row r="47" spans="1:6" x14ac:dyDescent="0.2">
      <c r="A47" t="s">
        <v>185</v>
      </c>
      <c r="B47">
        <v>140</v>
      </c>
      <c r="C47" s="52">
        <f t="shared" si="4"/>
        <v>7056</v>
      </c>
      <c r="D47" s="52">
        <f t="shared" si="5"/>
        <v>76944</v>
      </c>
      <c r="E47" s="52">
        <f t="shared" si="6"/>
        <v>7728</v>
      </c>
      <c r="F47" s="55">
        <f t="shared" si="7"/>
        <v>84672</v>
      </c>
    </row>
    <row r="48" spans="1:6" x14ac:dyDescent="0.2">
      <c r="A48" t="s">
        <v>184</v>
      </c>
      <c r="B48">
        <v>55</v>
      </c>
      <c r="C48" s="52">
        <f t="shared" si="4"/>
        <v>2772</v>
      </c>
      <c r="D48" s="52">
        <f t="shared" si="5"/>
        <v>30228</v>
      </c>
      <c r="E48" s="52">
        <f t="shared" si="6"/>
        <v>3035.9999999999995</v>
      </c>
      <c r="F48" s="55">
        <f t="shared" si="7"/>
        <v>33264</v>
      </c>
    </row>
    <row r="49" spans="1:6" x14ac:dyDescent="0.2">
      <c r="A49" t="s">
        <v>183</v>
      </c>
      <c r="B49">
        <v>72</v>
      </c>
      <c r="C49" s="52">
        <f t="shared" si="4"/>
        <v>3628.7999999999997</v>
      </c>
      <c r="D49" s="52">
        <f t="shared" si="5"/>
        <v>39571.199999999997</v>
      </c>
      <c r="E49" s="52">
        <f t="shared" si="6"/>
        <v>3974.3999999999996</v>
      </c>
      <c r="F49" s="55">
        <f t="shared" si="7"/>
        <v>43545.599999999999</v>
      </c>
    </row>
    <row r="50" spans="1:6" x14ac:dyDescent="0.2">
      <c r="A50" t="s">
        <v>182</v>
      </c>
      <c r="B50">
        <v>45</v>
      </c>
      <c r="C50" s="52">
        <f t="shared" si="4"/>
        <v>2268</v>
      </c>
      <c r="D50" s="52">
        <f t="shared" si="5"/>
        <v>24732</v>
      </c>
      <c r="E50" s="52">
        <f t="shared" si="6"/>
        <v>2483.9999999999995</v>
      </c>
      <c r="F50" s="55">
        <f t="shared" si="7"/>
        <v>27216</v>
      </c>
    </row>
    <row r="51" spans="1:6" x14ac:dyDescent="0.2">
      <c r="A51" t="s">
        <v>181</v>
      </c>
      <c r="B51">
        <v>28</v>
      </c>
      <c r="C51" s="52">
        <f t="shared" si="4"/>
        <v>1411.2</v>
      </c>
      <c r="D51" s="52">
        <f t="shared" si="5"/>
        <v>15388.8</v>
      </c>
      <c r="E51" s="52">
        <f t="shared" si="6"/>
        <v>1545.6</v>
      </c>
      <c r="F51" s="55">
        <f t="shared" si="7"/>
        <v>16934.400000000001</v>
      </c>
    </row>
    <row r="52" spans="1:6" x14ac:dyDescent="0.2">
      <c r="A52" t="s">
        <v>180</v>
      </c>
      <c r="B52">
        <v>66</v>
      </c>
      <c r="C52" s="52">
        <f t="shared" si="4"/>
        <v>3326.4</v>
      </c>
      <c r="D52" s="52">
        <f t="shared" si="5"/>
        <v>36273.599999999999</v>
      </c>
      <c r="E52" s="52">
        <f t="shared" si="6"/>
        <v>3643.2</v>
      </c>
      <c r="F52" s="55">
        <f t="shared" si="7"/>
        <v>39916.800000000003</v>
      </c>
    </row>
    <row r="53" spans="1:6" x14ac:dyDescent="0.2">
      <c r="A53" t="s">
        <v>179</v>
      </c>
      <c r="B53">
        <v>15</v>
      </c>
      <c r="C53" s="52">
        <f t="shared" si="4"/>
        <v>756</v>
      </c>
      <c r="D53" s="52">
        <f t="shared" si="5"/>
        <v>8244</v>
      </c>
      <c r="E53" s="52">
        <f t="shared" si="6"/>
        <v>828</v>
      </c>
      <c r="F53" s="55">
        <f t="shared" si="7"/>
        <v>9072</v>
      </c>
    </row>
    <row r="54" spans="1:6" x14ac:dyDescent="0.2">
      <c r="A54" t="s">
        <v>178</v>
      </c>
      <c r="B54">
        <v>59</v>
      </c>
      <c r="C54" s="52">
        <f t="shared" si="4"/>
        <v>2973.6</v>
      </c>
      <c r="D54" s="52">
        <f t="shared" si="5"/>
        <v>32426.399999999998</v>
      </c>
      <c r="E54" s="52">
        <f t="shared" si="6"/>
        <v>3256.7999999999997</v>
      </c>
      <c r="F54" s="55">
        <f t="shared" si="7"/>
        <v>35683.199999999997</v>
      </c>
    </row>
    <row r="55" spans="1:6" x14ac:dyDescent="0.2">
      <c r="A55" t="s">
        <v>177</v>
      </c>
      <c r="B55">
        <v>86</v>
      </c>
      <c r="C55" s="52">
        <f t="shared" si="4"/>
        <v>4334.3999999999996</v>
      </c>
      <c r="D55" s="52">
        <f t="shared" si="5"/>
        <v>47265.599999999999</v>
      </c>
      <c r="E55" s="52">
        <f t="shared" si="6"/>
        <v>4747.2</v>
      </c>
      <c r="F55" s="55">
        <f t="shared" si="7"/>
        <v>52012.799999999996</v>
      </c>
    </row>
    <row r="56" spans="1:6" x14ac:dyDescent="0.2">
      <c r="A56" t="s">
        <v>176</v>
      </c>
      <c r="B56">
        <v>65</v>
      </c>
      <c r="C56" s="52">
        <f t="shared" si="4"/>
        <v>3276</v>
      </c>
      <c r="D56" s="52">
        <f t="shared" si="5"/>
        <v>35724</v>
      </c>
      <c r="E56" s="52">
        <f t="shared" si="6"/>
        <v>3588</v>
      </c>
      <c r="F56" s="55">
        <f t="shared" si="7"/>
        <v>39312</v>
      </c>
    </row>
    <row r="57" spans="1:6" x14ac:dyDescent="0.2">
      <c r="A57" t="s">
        <v>175</v>
      </c>
      <c r="B57">
        <v>43</v>
      </c>
      <c r="C57" s="52">
        <f t="shared" si="4"/>
        <v>2167.1999999999998</v>
      </c>
      <c r="D57" s="52">
        <f t="shared" si="5"/>
        <v>23632.799999999999</v>
      </c>
      <c r="E57" s="52">
        <f t="shared" si="6"/>
        <v>2373.6</v>
      </c>
      <c r="F57" s="55">
        <f t="shared" si="7"/>
        <v>26006.399999999998</v>
      </c>
    </row>
    <row r="58" spans="1:6" x14ac:dyDescent="0.2">
      <c r="A58" t="s">
        <v>174</v>
      </c>
      <c r="B58">
        <v>204</v>
      </c>
      <c r="C58" s="52">
        <f t="shared" si="4"/>
        <v>10281.6</v>
      </c>
      <c r="D58" s="52">
        <f t="shared" si="5"/>
        <v>112118.39999999999</v>
      </c>
      <c r="E58" s="52">
        <f t="shared" si="6"/>
        <v>11260.8</v>
      </c>
      <c r="F58" s="55">
        <f t="shared" si="7"/>
        <v>123379.20000000001</v>
      </c>
    </row>
    <row r="59" spans="1:6" x14ac:dyDescent="0.2">
      <c r="A59" t="s">
        <v>173</v>
      </c>
      <c r="B59">
        <v>42</v>
      </c>
      <c r="C59" s="52">
        <f t="shared" si="4"/>
        <v>2116.7999999999997</v>
      </c>
      <c r="D59" s="52">
        <f t="shared" si="5"/>
        <v>23083.199999999997</v>
      </c>
      <c r="E59" s="52">
        <f t="shared" si="6"/>
        <v>2318.3999999999996</v>
      </c>
      <c r="F59" s="55">
        <f t="shared" si="7"/>
        <v>25401.599999999999</v>
      </c>
    </row>
    <row r="60" spans="1:6" x14ac:dyDescent="0.2">
      <c r="A60" t="s">
        <v>172</v>
      </c>
      <c r="B60">
        <v>87</v>
      </c>
      <c r="C60" s="52">
        <f t="shared" si="4"/>
        <v>4384.8</v>
      </c>
      <c r="D60" s="52">
        <f t="shared" si="5"/>
        <v>47815.199999999997</v>
      </c>
      <c r="E60" s="52">
        <f t="shared" si="6"/>
        <v>4802.3999999999996</v>
      </c>
      <c r="F60" s="55">
        <f t="shared" si="7"/>
        <v>52617.600000000006</v>
      </c>
    </row>
    <row r="61" spans="1:6" x14ac:dyDescent="0.2">
      <c r="A61" t="s">
        <v>171</v>
      </c>
      <c r="B61">
        <v>102</v>
      </c>
      <c r="C61" s="52">
        <f t="shared" si="4"/>
        <v>5140.8</v>
      </c>
      <c r="D61" s="52">
        <f t="shared" si="5"/>
        <v>56059.199999999997</v>
      </c>
      <c r="E61" s="52">
        <f t="shared" si="6"/>
        <v>5630.4</v>
      </c>
      <c r="F61" s="55">
        <f t="shared" si="7"/>
        <v>61689.600000000006</v>
      </c>
    </row>
    <row r="62" spans="1:6" x14ac:dyDescent="0.2">
      <c r="A62" t="s">
        <v>170</v>
      </c>
      <c r="B62">
        <v>3</v>
      </c>
      <c r="C62" s="52">
        <f t="shared" si="4"/>
        <v>151.19999999999999</v>
      </c>
      <c r="D62" s="52">
        <f t="shared" si="5"/>
        <v>1648.7999999999997</v>
      </c>
      <c r="E62" s="52">
        <f t="shared" si="6"/>
        <v>165.6</v>
      </c>
      <c r="F62" s="55">
        <f t="shared" si="7"/>
        <v>1814.3999999999999</v>
      </c>
    </row>
    <row r="63" spans="1:6" x14ac:dyDescent="0.2">
      <c r="A63" t="s">
        <v>169</v>
      </c>
      <c r="B63">
        <v>3</v>
      </c>
      <c r="C63" s="52">
        <f t="shared" si="4"/>
        <v>151.19999999999999</v>
      </c>
      <c r="D63" s="52">
        <f t="shared" si="5"/>
        <v>1648.7999999999997</v>
      </c>
      <c r="E63" s="52">
        <f t="shared" si="6"/>
        <v>165.6</v>
      </c>
      <c r="F63" s="55">
        <f t="shared" si="7"/>
        <v>1814.3999999999999</v>
      </c>
    </row>
    <row r="64" spans="1:6" x14ac:dyDescent="0.2">
      <c r="A64" t="s">
        <v>168</v>
      </c>
      <c r="B64">
        <v>3</v>
      </c>
      <c r="C64" s="52">
        <f t="shared" si="4"/>
        <v>151.19999999999999</v>
      </c>
      <c r="D64" s="52">
        <f t="shared" si="5"/>
        <v>1648.7999999999997</v>
      </c>
      <c r="E64" s="52">
        <f t="shared" si="6"/>
        <v>165.6</v>
      </c>
      <c r="F64" s="55">
        <f t="shared" si="7"/>
        <v>1814.3999999999999</v>
      </c>
    </row>
    <row r="65" spans="1:6" x14ac:dyDescent="0.2">
      <c r="A65" t="s">
        <v>167</v>
      </c>
      <c r="B65">
        <v>1</v>
      </c>
      <c r="C65" s="52">
        <f t="shared" si="4"/>
        <v>50.4</v>
      </c>
      <c r="D65" s="52">
        <f t="shared" si="5"/>
        <v>549.59999999999991</v>
      </c>
      <c r="E65" s="52">
        <f t="shared" si="6"/>
        <v>55.199999999999996</v>
      </c>
      <c r="F65" s="55">
        <f t="shared" si="7"/>
        <v>604.79999999999995</v>
      </c>
    </row>
    <row r="66" spans="1:6" x14ac:dyDescent="0.2">
      <c r="A66" s="1" t="s">
        <v>166</v>
      </c>
      <c r="B66" s="1">
        <f>SUM(B29:B65)</f>
        <v>2089</v>
      </c>
      <c r="C66" s="53">
        <f>SUM(C29:C65)</f>
        <v>105285.59999999999</v>
      </c>
      <c r="D66" s="53">
        <f>SUM(D29:D65)</f>
        <v>1148114.4000000004</v>
      </c>
      <c r="E66" s="53">
        <f>SUM(E29:E65)</f>
        <v>115312.80000000002</v>
      </c>
      <c r="F66" s="57">
        <f>SUM(F29:F65)</f>
        <v>1263427.2</v>
      </c>
    </row>
    <row r="67" spans="1:6" x14ac:dyDescent="0.2">
      <c r="A67" s="1"/>
      <c r="B67" s="1"/>
      <c r="C67" s="53"/>
      <c r="D67" s="53"/>
      <c r="E67" s="53"/>
      <c r="F67" s="57"/>
    </row>
    <row r="68" spans="1:6" x14ac:dyDescent="0.2">
      <c r="A68" s="1" t="s">
        <v>165</v>
      </c>
      <c r="B68" s="1">
        <f>SUM(B24+B66)</f>
        <v>3220</v>
      </c>
      <c r="C68" s="53">
        <f>SUM(C24+C66)</f>
        <v>136048.79999999999</v>
      </c>
      <c r="D68" s="53">
        <f>SUM(D24+D66)</f>
        <v>1454841.6000000006</v>
      </c>
      <c r="E68" s="53">
        <f>SUM(E24+E66)</f>
        <v>177744</v>
      </c>
      <c r="F68" s="53">
        <f>SUM(F24+F66)</f>
        <v>1632585.6</v>
      </c>
    </row>
    <row r="69" spans="1:6" x14ac:dyDescent="0.2">
      <c r="A69" s="1"/>
      <c r="B69" s="1"/>
      <c r="C69" s="53"/>
      <c r="D69" s="53"/>
      <c r="E69" s="53"/>
      <c r="F69" s="1"/>
    </row>
    <row r="70" spans="1:6" x14ac:dyDescent="0.2">
      <c r="A70" s="1" t="s">
        <v>164</v>
      </c>
      <c r="B70" s="1"/>
      <c r="C70" s="53"/>
      <c r="D70" s="53"/>
      <c r="E70" s="53"/>
      <c r="F70" s="1"/>
    </row>
    <row r="71" spans="1:6" x14ac:dyDescent="0.2">
      <c r="A71" s="30" t="s">
        <v>163</v>
      </c>
      <c r="B71" s="1"/>
      <c r="C71" s="53"/>
      <c r="D71" s="53"/>
      <c r="E71" s="53"/>
      <c r="F71" s="53">
        <f>+'income &amp; expenses'!M10</f>
        <v>15000</v>
      </c>
    </row>
    <row r="72" spans="1:6" x14ac:dyDescent="0.2">
      <c r="A72" t="s">
        <v>162</v>
      </c>
      <c r="B72">
        <v>1</v>
      </c>
      <c r="C72" s="53"/>
      <c r="D72" s="52"/>
      <c r="E72" s="52"/>
      <c r="F72" s="53">
        <f>+'income &amp; expenses'!M13</f>
        <v>22406.62</v>
      </c>
    </row>
    <row r="73" spans="1:6" x14ac:dyDescent="0.2">
      <c r="A73" s="30" t="s">
        <v>161</v>
      </c>
      <c r="B73" s="30">
        <v>1</v>
      </c>
      <c r="C73" s="53"/>
      <c r="D73" s="53"/>
      <c r="E73" s="53"/>
      <c r="F73" s="53">
        <f>+'income &amp; expenses'!M12</f>
        <v>80021</v>
      </c>
    </row>
    <row r="74" spans="1:6" x14ac:dyDescent="0.2">
      <c r="A74" s="1" t="s">
        <v>160</v>
      </c>
      <c r="B74" s="1"/>
      <c r="C74" s="53"/>
      <c r="D74" s="53"/>
      <c r="E74" s="53"/>
      <c r="F74" s="57">
        <f>SUM(F68:F73)-E68</f>
        <v>1572269.2200000002</v>
      </c>
    </row>
    <row r="75" spans="1:6" x14ac:dyDescent="0.2">
      <c r="A75" s="56" t="s">
        <v>159</v>
      </c>
      <c r="C75" s="52"/>
      <c r="D75" s="52"/>
      <c r="E75" s="52"/>
      <c r="F75" s="52">
        <f>+'income &amp; expenses'!M62</f>
        <v>1540221</v>
      </c>
    </row>
    <row r="76" spans="1:6" x14ac:dyDescent="0.2">
      <c r="A76" s="30" t="s">
        <v>158</v>
      </c>
      <c r="C76" s="52"/>
      <c r="D76" s="52"/>
      <c r="E76" s="52"/>
      <c r="F76" s="55">
        <f>SUM(F74-F75)</f>
        <v>32048.220000000205</v>
      </c>
    </row>
  </sheetData>
  <sheetProtection algorithmName="SHA-512" hashValue="kYQikaiIK16SRFE2oXxmA2unGidFCBaJTW40U8drM9WIv+O/CQ86dSXXx8I8aIRIpO+Rw6ilZU0lIL3/MGhr3Q==" saltValue="qTchjy1ERR1ihsXQRtd6FQ==" spinCount="100000" sheet="1" objects="1" scenarios="1"/>
  <pageMargins left="0.7" right="0.7" top="0.75" bottom="0.75" header="0.3" footer="0.3"/>
  <pageSetup scale="7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6"/>
  <sheetViews>
    <sheetView topLeftCell="A42" workbookViewId="0">
      <selection activeCell="F74" sqref="F74"/>
    </sheetView>
  </sheetViews>
  <sheetFormatPr defaultRowHeight="12.75" x14ac:dyDescent="0.2"/>
  <cols>
    <col min="1" max="1" width="24.85546875" customWidth="1"/>
    <col min="3" max="3" width="12.28515625" bestFit="1" customWidth="1"/>
    <col min="4" max="4" width="14.42578125" bestFit="1" customWidth="1"/>
    <col min="5" max="5" width="13.85546875" bestFit="1" customWidth="1"/>
    <col min="6" max="6" width="16.7109375" bestFit="1" customWidth="1"/>
    <col min="13" max="13" width="12.28515625" bestFit="1" customWidth="1"/>
  </cols>
  <sheetData>
    <row r="1" spans="1:13" x14ac:dyDescent="0.2">
      <c r="C1" s="52"/>
      <c r="D1" s="52"/>
      <c r="E1" s="52"/>
    </row>
    <row r="2" spans="1:13" x14ac:dyDescent="0.2">
      <c r="A2" s="1"/>
      <c r="B2" s="1"/>
      <c r="C2" s="52">
        <f>ROUND((+' Income 2017'!C2)*(1+' Income 2018'!I2),2)</f>
        <v>28.97</v>
      </c>
      <c r="D2" s="52">
        <f>+C2-E2</f>
        <v>24.52</v>
      </c>
      <c r="E2" s="52">
        <v>4.45</v>
      </c>
      <c r="F2" s="111" t="s">
        <v>265</v>
      </c>
      <c r="I2" s="112">
        <v>6.5000000000000002E-2</v>
      </c>
      <c r="J2" s="30" t="s">
        <v>266</v>
      </c>
    </row>
    <row r="3" spans="1:13" x14ac:dyDescent="0.2">
      <c r="A3" s="2" t="s">
        <v>236</v>
      </c>
      <c r="B3" s="2" t="s">
        <v>213</v>
      </c>
      <c r="C3" s="58" t="s">
        <v>212</v>
      </c>
      <c r="D3" s="58" t="s">
        <v>211</v>
      </c>
      <c r="E3" s="58" t="s">
        <v>210</v>
      </c>
      <c r="F3" s="58" t="s">
        <v>209</v>
      </c>
      <c r="G3" s="58" t="s">
        <v>278</v>
      </c>
      <c r="H3" s="58"/>
      <c r="M3" s="124" t="s">
        <v>280</v>
      </c>
    </row>
    <row r="4" spans="1:13" x14ac:dyDescent="0.2">
      <c r="A4" s="2" t="s">
        <v>208</v>
      </c>
      <c r="B4" s="2" t="s">
        <v>207</v>
      </c>
      <c r="C4" s="58" t="s">
        <v>206</v>
      </c>
      <c r="D4" s="58" t="s">
        <v>235</v>
      </c>
      <c r="E4" s="58" t="s">
        <v>204</v>
      </c>
      <c r="F4" s="2" t="s">
        <v>203</v>
      </c>
    </row>
    <row r="5" spans="1:13" x14ac:dyDescent="0.2">
      <c r="A5" t="s">
        <v>234</v>
      </c>
      <c r="C5" s="52"/>
      <c r="D5" s="52"/>
      <c r="E5" s="52"/>
      <c r="F5" s="55"/>
    </row>
    <row r="6" spans="1:13" x14ac:dyDescent="0.2">
      <c r="A6" t="s">
        <v>233</v>
      </c>
      <c r="C6" s="52"/>
      <c r="D6" s="52"/>
      <c r="E6" s="52"/>
      <c r="F6" s="55"/>
    </row>
    <row r="7" spans="1:13" s="120" customFormat="1" x14ac:dyDescent="0.2">
      <c r="A7" s="120" t="s">
        <v>232</v>
      </c>
      <c r="B7" s="120">
        <v>0</v>
      </c>
      <c r="C7" s="121">
        <f>SUM($C$2*B7)</f>
        <v>0</v>
      </c>
      <c r="D7" s="121">
        <f>SUM($D$2*B7*12)</f>
        <v>0</v>
      </c>
      <c r="E7" s="121">
        <f>SUM($E$2*12*B7)</f>
        <v>0</v>
      </c>
      <c r="F7" s="122">
        <f>SUM(C7*12)</f>
        <v>0</v>
      </c>
      <c r="G7" s="120">
        <v>72</v>
      </c>
      <c r="I7" s="123" t="s">
        <v>276</v>
      </c>
    </row>
    <row r="8" spans="1:13" x14ac:dyDescent="0.2">
      <c r="A8" t="s">
        <v>231</v>
      </c>
      <c r="C8" s="52"/>
      <c r="D8" s="52"/>
      <c r="E8" s="52"/>
      <c r="F8" s="55"/>
    </row>
    <row r="9" spans="1:13" x14ac:dyDescent="0.2">
      <c r="A9" t="s">
        <v>230</v>
      </c>
      <c r="B9">
        <v>104</v>
      </c>
      <c r="C9" s="52">
        <f>SUM($C$2*B9)</f>
        <v>3012.88</v>
      </c>
      <c r="D9" s="52">
        <f>SUM($D$2*B9*12)</f>
        <v>30600.959999999999</v>
      </c>
      <c r="E9" s="52">
        <f>SUM($E$2*12*B9)</f>
        <v>5553.6</v>
      </c>
      <c r="F9" s="55">
        <f>SUM(C9*12)</f>
        <v>36154.559999999998</v>
      </c>
      <c r="H9" s="124" t="s">
        <v>277</v>
      </c>
    </row>
    <row r="10" spans="1:13" s="120" customFormat="1" x14ac:dyDescent="0.2">
      <c r="A10" s="120" t="s">
        <v>229</v>
      </c>
      <c r="B10" s="120">
        <v>0</v>
      </c>
      <c r="C10" s="121">
        <f>SUM($C$2*B10)</f>
        <v>0</v>
      </c>
      <c r="D10" s="121">
        <f>SUM($D$2*B10*12)</f>
        <v>0</v>
      </c>
      <c r="E10" s="121">
        <f>SUM($E$2*12*B10)</f>
        <v>0</v>
      </c>
      <c r="F10" s="122">
        <f>SUM(C10*12)</f>
        <v>0</v>
      </c>
      <c r="G10" s="120">
        <v>80</v>
      </c>
      <c r="I10" s="123" t="s">
        <v>276</v>
      </c>
    </row>
    <row r="11" spans="1:13" x14ac:dyDescent="0.2">
      <c r="A11" t="s">
        <v>228</v>
      </c>
      <c r="C11" s="52"/>
      <c r="D11" s="52"/>
      <c r="E11" s="52"/>
      <c r="F11" s="55"/>
    </row>
    <row r="12" spans="1:13" x14ac:dyDescent="0.2">
      <c r="A12" t="s">
        <v>227</v>
      </c>
      <c r="B12">
        <v>124</v>
      </c>
      <c r="C12" s="52">
        <f>SUM($C$2*B12)</f>
        <v>3592.2799999999997</v>
      </c>
      <c r="D12" s="52">
        <f>SUM($D$2*B12*12)</f>
        <v>36485.760000000002</v>
      </c>
      <c r="E12" s="52">
        <f>SUM($E$2*12*B12)</f>
        <v>6621.6</v>
      </c>
      <c r="F12" s="55">
        <f>SUM(C12*12)</f>
        <v>43107.360000000001</v>
      </c>
      <c r="H12" s="124"/>
      <c r="M12" s="55"/>
    </row>
    <row r="13" spans="1:13" x14ac:dyDescent="0.2">
      <c r="A13" t="s">
        <v>226</v>
      </c>
      <c r="C13" s="52"/>
      <c r="D13" s="52"/>
      <c r="E13" s="52"/>
      <c r="F13" s="55"/>
    </row>
    <row r="14" spans="1:13" x14ac:dyDescent="0.2">
      <c r="A14" t="s">
        <v>225</v>
      </c>
      <c r="B14">
        <v>132</v>
      </c>
      <c r="C14" s="52">
        <f t="shared" ref="C14:C21" si="0">SUM($C$2*B14)</f>
        <v>3824.04</v>
      </c>
      <c r="D14" s="52">
        <f t="shared" ref="D14:D21" si="1">SUM($D$2*B14*12)</f>
        <v>38839.68</v>
      </c>
      <c r="E14" s="52">
        <f t="shared" ref="E14:E21" si="2">SUM($E$2*12*B14)</f>
        <v>7048.8000000000011</v>
      </c>
      <c r="F14" s="55">
        <f t="shared" ref="F14:F21" si="3">SUM(C14*12)</f>
        <v>45888.479999999996</v>
      </c>
      <c r="M14" s="55">
        <f t="shared" ref="M14:M19" si="4">+F14</f>
        <v>45888.479999999996</v>
      </c>
    </row>
    <row r="15" spans="1:13" x14ac:dyDescent="0.2">
      <c r="A15" t="s">
        <v>224</v>
      </c>
      <c r="B15">
        <v>28</v>
      </c>
      <c r="C15" s="52">
        <f t="shared" si="0"/>
        <v>811.16</v>
      </c>
      <c r="D15" s="52">
        <f t="shared" si="1"/>
        <v>8238.7199999999993</v>
      </c>
      <c r="E15" s="52">
        <f t="shared" si="2"/>
        <v>1495.2000000000003</v>
      </c>
      <c r="F15" s="55">
        <f t="shared" si="3"/>
        <v>9733.92</v>
      </c>
      <c r="H15" s="124" t="s">
        <v>277</v>
      </c>
      <c r="M15" s="55"/>
    </row>
    <row r="16" spans="1:13" s="120" customFormat="1" x14ac:dyDescent="0.2">
      <c r="A16" s="120" t="s">
        <v>223</v>
      </c>
      <c r="B16" s="120">
        <v>0</v>
      </c>
      <c r="C16" s="121">
        <f t="shared" si="0"/>
        <v>0</v>
      </c>
      <c r="D16" s="121">
        <f t="shared" si="1"/>
        <v>0</v>
      </c>
      <c r="E16" s="121">
        <f t="shared" si="2"/>
        <v>0</v>
      </c>
      <c r="F16" s="122">
        <f t="shared" si="3"/>
        <v>0</v>
      </c>
      <c r="G16" s="120">
        <v>34</v>
      </c>
      <c r="I16" s="123" t="s">
        <v>276</v>
      </c>
    </row>
    <row r="17" spans="1:13" x14ac:dyDescent="0.2">
      <c r="A17" t="s">
        <v>222</v>
      </c>
      <c r="B17">
        <v>35</v>
      </c>
      <c r="C17" s="52">
        <f t="shared" si="0"/>
        <v>1013.9499999999999</v>
      </c>
      <c r="D17" s="52">
        <f t="shared" si="1"/>
        <v>10298.4</v>
      </c>
      <c r="E17" s="52">
        <f t="shared" si="2"/>
        <v>1869.0000000000002</v>
      </c>
      <c r="F17" s="55">
        <f t="shared" si="3"/>
        <v>12167.4</v>
      </c>
      <c r="H17" s="124" t="s">
        <v>277</v>
      </c>
      <c r="M17" s="55"/>
    </row>
    <row r="18" spans="1:13" s="120" customFormat="1" x14ac:dyDescent="0.2">
      <c r="A18" s="120" t="s">
        <v>221</v>
      </c>
      <c r="B18" s="120">
        <v>0</v>
      </c>
      <c r="C18" s="121">
        <f t="shared" si="0"/>
        <v>0</v>
      </c>
      <c r="D18" s="121">
        <f t="shared" si="1"/>
        <v>0</v>
      </c>
      <c r="E18" s="121">
        <f t="shared" si="2"/>
        <v>0</v>
      </c>
      <c r="F18" s="122">
        <f t="shared" si="3"/>
        <v>0</v>
      </c>
      <c r="G18" s="120">
        <v>99</v>
      </c>
      <c r="I18" s="123" t="s">
        <v>276</v>
      </c>
    </row>
    <row r="19" spans="1:13" x14ac:dyDescent="0.2">
      <c r="A19" t="s">
        <v>220</v>
      </c>
      <c r="B19">
        <v>77</v>
      </c>
      <c r="C19" s="52">
        <f t="shared" si="0"/>
        <v>2230.69</v>
      </c>
      <c r="D19" s="52">
        <f t="shared" si="1"/>
        <v>22656.48</v>
      </c>
      <c r="E19" s="52">
        <f t="shared" si="2"/>
        <v>4111.8</v>
      </c>
      <c r="F19" s="55">
        <f t="shared" si="3"/>
        <v>26768.28</v>
      </c>
      <c r="M19" s="55">
        <f t="shared" si="4"/>
        <v>26768.28</v>
      </c>
    </row>
    <row r="20" spans="1:13" s="120" customFormat="1" x14ac:dyDescent="0.2">
      <c r="A20" s="120" t="s">
        <v>219</v>
      </c>
      <c r="B20" s="120">
        <v>0</v>
      </c>
      <c r="C20" s="121">
        <f t="shared" si="0"/>
        <v>0</v>
      </c>
      <c r="D20" s="121">
        <f t="shared" si="1"/>
        <v>0</v>
      </c>
      <c r="E20" s="121">
        <f t="shared" si="2"/>
        <v>0</v>
      </c>
      <c r="F20" s="122">
        <f t="shared" si="3"/>
        <v>0</v>
      </c>
      <c r="G20" s="120">
        <v>33</v>
      </c>
      <c r="I20" s="123" t="s">
        <v>276</v>
      </c>
    </row>
    <row r="21" spans="1:13" s="120" customFormat="1" x14ac:dyDescent="0.2">
      <c r="A21" s="120" t="s">
        <v>218</v>
      </c>
      <c r="B21" s="120">
        <v>0</v>
      </c>
      <c r="C21" s="121">
        <f t="shared" si="0"/>
        <v>0</v>
      </c>
      <c r="D21" s="121">
        <f t="shared" si="1"/>
        <v>0</v>
      </c>
      <c r="E21" s="121">
        <f t="shared" si="2"/>
        <v>0</v>
      </c>
      <c r="F21" s="122">
        <f t="shared" si="3"/>
        <v>0</v>
      </c>
      <c r="G21" s="120">
        <v>67</v>
      </c>
      <c r="I21" s="123" t="s">
        <v>276</v>
      </c>
    </row>
    <row r="22" spans="1:13" x14ac:dyDescent="0.2">
      <c r="A22" t="s">
        <v>217</v>
      </c>
      <c r="C22" s="52"/>
      <c r="D22" s="52"/>
      <c r="E22" s="52"/>
      <c r="F22" s="55"/>
    </row>
    <row r="23" spans="1:13" x14ac:dyDescent="0.2">
      <c r="A23" t="s">
        <v>216</v>
      </c>
      <c r="B23">
        <v>246</v>
      </c>
      <c r="C23" s="52">
        <f>SUM($C$2*B23)</f>
        <v>7126.62</v>
      </c>
      <c r="D23" s="52">
        <f>SUM($D$2*B23*12)</f>
        <v>72383.040000000008</v>
      </c>
      <c r="E23" s="52">
        <f>SUM($E$2*12*B23)</f>
        <v>13136.400000000001</v>
      </c>
      <c r="F23" s="55">
        <f>SUM(C23*12)</f>
        <v>85519.44</v>
      </c>
      <c r="H23" s="124" t="s">
        <v>277</v>
      </c>
    </row>
    <row r="24" spans="1:13" x14ac:dyDescent="0.2">
      <c r="A24" s="1" t="s">
        <v>215</v>
      </c>
      <c r="B24" s="1">
        <f>SUM(B5:B23)</f>
        <v>746</v>
      </c>
      <c r="C24" s="53">
        <f>SUM(C5:C23)</f>
        <v>21611.620000000003</v>
      </c>
      <c r="D24" s="53">
        <f>SUM(D5:D23)</f>
        <v>219503.04</v>
      </c>
      <c r="E24" s="53">
        <f>SUM(E5:E23)</f>
        <v>39836.400000000001</v>
      </c>
      <c r="F24" s="57">
        <f>SUM(C24*12)</f>
        <v>259339.44000000003</v>
      </c>
      <c r="G24" s="1">
        <f>SUM(G5:G23)</f>
        <v>385</v>
      </c>
      <c r="M24" s="55">
        <f>SUM(M7:M21)</f>
        <v>72656.759999999995</v>
      </c>
    </row>
    <row r="25" spans="1:13" x14ac:dyDescent="0.2">
      <c r="A25" s="1"/>
      <c r="B25" s="1"/>
      <c r="C25" s="53"/>
      <c r="D25" s="53"/>
      <c r="E25" s="53"/>
      <c r="F25" s="57"/>
    </row>
    <row r="26" spans="1:13" x14ac:dyDescent="0.2">
      <c r="A26" s="1"/>
      <c r="B26" s="1"/>
      <c r="C26" s="52">
        <f>ROUND((+' Income 2017'!C26)*(1+' Income 2018'!I26),2)</f>
        <v>55.44</v>
      </c>
      <c r="D26" s="54">
        <f>+C26-E26</f>
        <v>50.989999999999995</v>
      </c>
      <c r="E26" s="54">
        <f>+E2</f>
        <v>4.45</v>
      </c>
      <c r="F26" s="59"/>
      <c r="I26" s="112">
        <v>0.1</v>
      </c>
      <c r="J26" s="30" t="s">
        <v>266</v>
      </c>
    </row>
    <row r="27" spans="1:13" x14ac:dyDescent="0.2">
      <c r="A27" s="2" t="s">
        <v>214</v>
      </c>
      <c r="B27" s="2" t="s">
        <v>213</v>
      </c>
      <c r="C27" s="58" t="s">
        <v>212</v>
      </c>
      <c r="D27" s="58" t="s">
        <v>211</v>
      </c>
      <c r="E27" s="58" t="s">
        <v>210</v>
      </c>
      <c r="F27" s="58" t="s">
        <v>209</v>
      </c>
    </row>
    <row r="28" spans="1:13" x14ac:dyDescent="0.2">
      <c r="A28" s="2" t="s">
        <v>208</v>
      </c>
      <c r="B28" s="2" t="s">
        <v>207</v>
      </c>
      <c r="C28" s="58" t="s">
        <v>206</v>
      </c>
      <c r="D28" s="58" t="s">
        <v>205</v>
      </c>
      <c r="E28" s="58" t="s">
        <v>204</v>
      </c>
      <c r="F28" s="2" t="s">
        <v>203</v>
      </c>
    </row>
    <row r="29" spans="1:13" x14ac:dyDescent="0.2">
      <c r="A29" t="s">
        <v>202</v>
      </c>
      <c r="B29">
        <v>165</v>
      </c>
      <c r="C29" s="52">
        <f t="shared" ref="C29:C65" si="5">SUM($C$26*B29)</f>
        <v>9147.6</v>
      </c>
      <c r="D29" s="52">
        <f t="shared" ref="D29:D65" si="6">SUM($D$26*B29*12)</f>
        <v>100960.19999999998</v>
      </c>
      <c r="E29" s="52">
        <f t="shared" ref="E29:E65" si="7">SUM($E$26*B29*12)</f>
        <v>8811</v>
      </c>
      <c r="F29" s="55">
        <f t="shared" ref="F29:F65" si="8">SUM(C29*12)</f>
        <v>109771.20000000001</v>
      </c>
    </row>
    <row r="30" spans="1:13" x14ac:dyDescent="0.2">
      <c r="A30" t="s">
        <v>201</v>
      </c>
      <c r="B30">
        <v>3</v>
      </c>
      <c r="C30" s="52">
        <f t="shared" si="5"/>
        <v>166.32</v>
      </c>
      <c r="D30" s="52">
        <f t="shared" si="6"/>
        <v>1835.6399999999996</v>
      </c>
      <c r="E30" s="52">
        <f t="shared" si="7"/>
        <v>160.20000000000002</v>
      </c>
      <c r="F30" s="55">
        <f t="shared" si="8"/>
        <v>1995.84</v>
      </c>
    </row>
    <row r="31" spans="1:13" x14ac:dyDescent="0.2">
      <c r="A31" t="s">
        <v>250</v>
      </c>
      <c r="B31">
        <v>12</v>
      </c>
      <c r="C31" s="52">
        <f t="shared" si="5"/>
        <v>665.28</v>
      </c>
      <c r="D31" s="52">
        <f t="shared" si="6"/>
        <v>7342.5599999999986</v>
      </c>
      <c r="E31" s="52">
        <f t="shared" si="7"/>
        <v>640.80000000000007</v>
      </c>
      <c r="F31" s="55">
        <f t="shared" si="8"/>
        <v>7983.36</v>
      </c>
    </row>
    <row r="32" spans="1:13" x14ac:dyDescent="0.2">
      <c r="A32" t="s">
        <v>200</v>
      </c>
      <c r="B32">
        <v>50</v>
      </c>
      <c r="C32" s="52">
        <f t="shared" si="5"/>
        <v>2772</v>
      </c>
      <c r="D32" s="52">
        <f t="shared" si="6"/>
        <v>30593.999999999993</v>
      </c>
      <c r="E32" s="52">
        <f t="shared" si="7"/>
        <v>2670</v>
      </c>
      <c r="F32" s="55">
        <f t="shared" si="8"/>
        <v>33264</v>
      </c>
    </row>
    <row r="33" spans="1:6" x14ac:dyDescent="0.2">
      <c r="A33" t="s">
        <v>199</v>
      </c>
      <c r="B33">
        <v>122</v>
      </c>
      <c r="C33" s="52">
        <f t="shared" si="5"/>
        <v>6763.6799999999994</v>
      </c>
      <c r="D33" s="52">
        <f t="shared" si="6"/>
        <v>74649.36</v>
      </c>
      <c r="E33" s="52">
        <f t="shared" si="7"/>
        <v>6514.7999999999993</v>
      </c>
      <c r="F33" s="55">
        <f t="shared" si="8"/>
        <v>81164.159999999989</v>
      </c>
    </row>
    <row r="34" spans="1:6" x14ac:dyDescent="0.2">
      <c r="A34" t="s">
        <v>198</v>
      </c>
      <c r="B34">
        <v>157</v>
      </c>
      <c r="C34" s="52">
        <f t="shared" si="5"/>
        <v>8704.08</v>
      </c>
      <c r="D34" s="52">
        <f t="shared" si="6"/>
        <v>96065.159999999989</v>
      </c>
      <c r="E34" s="52">
        <f t="shared" si="7"/>
        <v>8383.7999999999993</v>
      </c>
      <c r="F34" s="55">
        <f t="shared" si="8"/>
        <v>104448.95999999999</v>
      </c>
    </row>
    <row r="35" spans="1:6" x14ac:dyDescent="0.2">
      <c r="A35" t="s">
        <v>197</v>
      </c>
      <c r="B35">
        <v>49</v>
      </c>
      <c r="C35" s="52">
        <f t="shared" si="5"/>
        <v>2716.56</v>
      </c>
      <c r="D35" s="52">
        <f t="shared" si="6"/>
        <v>29982.119999999995</v>
      </c>
      <c r="E35" s="52">
        <f t="shared" si="7"/>
        <v>2616.6000000000004</v>
      </c>
      <c r="F35" s="55">
        <f t="shared" si="8"/>
        <v>32598.720000000001</v>
      </c>
    </row>
    <row r="36" spans="1:6" x14ac:dyDescent="0.2">
      <c r="A36" t="s">
        <v>196</v>
      </c>
      <c r="B36">
        <v>32</v>
      </c>
      <c r="C36" s="52">
        <f t="shared" si="5"/>
        <v>1774.08</v>
      </c>
      <c r="D36" s="52">
        <f t="shared" si="6"/>
        <v>19580.159999999996</v>
      </c>
      <c r="E36" s="52">
        <f t="shared" si="7"/>
        <v>1708.8000000000002</v>
      </c>
      <c r="F36" s="55">
        <f t="shared" si="8"/>
        <v>21288.959999999999</v>
      </c>
    </row>
    <row r="37" spans="1:6" x14ac:dyDescent="0.2">
      <c r="A37" t="s">
        <v>195</v>
      </c>
      <c r="B37">
        <v>24</v>
      </c>
      <c r="C37" s="52">
        <f t="shared" si="5"/>
        <v>1330.56</v>
      </c>
      <c r="D37" s="52">
        <f t="shared" si="6"/>
        <v>14685.119999999997</v>
      </c>
      <c r="E37" s="52">
        <f t="shared" si="7"/>
        <v>1281.6000000000001</v>
      </c>
      <c r="F37" s="55">
        <f t="shared" si="8"/>
        <v>15966.72</v>
      </c>
    </row>
    <row r="38" spans="1:6" x14ac:dyDescent="0.2">
      <c r="A38" t="s">
        <v>194</v>
      </c>
      <c r="B38">
        <v>34</v>
      </c>
      <c r="C38" s="52">
        <f t="shared" si="5"/>
        <v>1884.96</v>
      </c>
      <c r="D38" s="52">
        <f t="shared" si="6"/>
        <v>20803.919999999998</v>
      </c>
      <c r="E38" s="52">
        <f t="shared" si="7"/>
        <v>1815.6000000000001</v>
      </c>
      <c r="F38" s="55">
        <f t="shared" si="8"/>
        <v>22619.52</v>
      </c>
    </row>
    <row r="39" spans="1:6" x14ac:dyDescent="0.2">
      <c r="A39" t="s">
        <v>193</v>
      </c>
      <c r="B39">
        <v>22</v>
      </c>
      <c r="C39" s="52">
        <f t="shared" si="5"/>
        <v>1219.6799999999998</v>
      </c>
      <c r="D39" s="52">
        <f t="shared" si="6"/>
        <v>13461.36</v>
      </c>
      <c r="E39" s="52">
        <f t="shared" si="7"/>
        <v>1174.8000000000002</v>
      </c>
      <c r="F39" s="55">
        <f t="shared" si="8"/>
        <v>14636.159999999998</v>
      </c>
    </row>
    <row r="40" spans="1:6" x14ac:dyDescent="0.2">
      <c r="A40" t="s">
        <v>192</v>
      </c>
      <c r="B40">
        <v>42</v>
      </c>
      <c r="C40" s="52">
        <f t="shared" si="5"/>
        <v>2328.48</v>
      </c>
      <c r="D40" s="52">
        <f t="shared" si="6"/>
        <v>25698.959999999999</v>
      </c>
      <c r="E40" s="52">
        <f t="shared" si="7"/>
        <v>2242.8000000000002</v>
      </c>
      <c r="F40" s="55">
        <f t="shared" si="8"/>
        <v>27941.760000000002</v>
      </c>
    </row>
    <row r="41" spans="1:6" x14ac:dyDescent="0.2">
      <c r="A41" t="s">
        <v>191</v>
      </c>
      <c r="B41">
        <v>111</v>
      </c>
      <c r="C41" s="52">
        <f t="shared" si="5"/>
        <v>6153.84</v>
      </c>
      <c r="D41" s="52">
        <f t="shared" si="6"/>
        <v>67918.679999999993</v>
      </c>
      <c r="E41" s="52">
        <f t="shared" si="7"/>
        <v>5927.4000000000005</v>
      </c>
      <c r="F41" s="55">
        <f t="shared" si="8"/>
        <v>73846.080000000002</v>
      </c>
    </row>
    <row r="42" spans="1:6" x14ac:dyDescent="0.2">
      <c r="A42" t="s">
        <v>190</v>
      </c>
      <c r="B42">
        <v>42</v>
      </c>
      <c r="C42" s="52">
        <f t="shared" si="5"/>
        <v>2328.48</v>
      </c>
      <c r="D42" s="52">
        <f t="shared" si="6"/>
        <v>25698.959999999999</v>
      </c>
      <c r="E42" s="52">
        <f t="shared" si="7"/>
        <v>2242.8000000000002</v>
      </c>
      <c r="F42" s="55">
        <f t="shared" si="8"/>
        <v>27941.760000000002</v>
      </c>
    </row>
    <row r="43" spans="1:6" x14ac:dyDescent="0.2">
      <c r="A43" t="s">
        <v>189</v>
      </c>
      <c r="B43">
        <v>64</v>
      </c>
      <c r="C43" s="52">
        <f t="shared" si="5"/>
        <v>3548.16</v>
      </c>
      <c r="D43" s="52">
        <f t="shared" si="6"/>
        <v>39160.319999999992</v>
      </c>
      <c r="E43" s="52">
        <f t="shared" si="7"/>
        <v>3417.6000000000004</v>
      </c>
      <c r="F43" s="55">
        <f t="shared" si="8"/>
        <v>42577.919999999998</v>
      </c>
    </row>
    <row r="44" spans="1:6" x14ac:dyDescent="0.2">
      <c r="A44" t="s">
        <v>188</v>
      </c>
      <c r="B44">
        <v>4</v>
      </c>
      <c r="C44" s="52">
        <f t="shared" si="5"/>
        <v>221.76</v>
      </c>
      <c r="D44" s="52">
        <f t="shared" si="6"/>
        <v>2447.5199999999995</v>
      </c>
      <c r="E44" s="52">
        <f t="shared" si="7"/>
        <v>213.60000000000002</v>
      </c>
      <c r="F44" s="55">
        <f t="shared" si="8"/>
        <v>2661.12</v>
      </c>
    </row>
    <row r="45" spans="1:6" x14ac:dyDescent="0.2">
      <c r="A45" t="s">
        <v>187</v>
      </c>
      <c r="B45">
        <v>28</v>
      </c>
      <c r="C45" s="52">
        <f t="shared" si="5"/>
        <v>1552.32</v>
      </c>
      <c r="D45" s="52">
        <f t="shared" si="6"/>
        <v>17132.64</v>
      </c>
      <c r="E45" s="52">
        <f t="shared" si="7"/>
        <v>1495.2</v>
      </c>
      <c r="F45" s="55">
        <f t="shared" si="8"/>
        <v>18627.84</v>
      </c>
    </row>
    <row r="46" spans="1:6" x14ac:dyDescent="0.2">
      <c r="A46" t="s">
        <v>186</v>
      </c>
      <c r="B46">
        <v>9</v>
      </c>
      <c r="C46" s="52">
        <f t="shared" si="5"/>
        <v>498.96</v>
      </c>
      <c r="D46" s="52">
        <f t="shared" si="6"/>
        <v>5506.92</v>
      </c>
      <c r="E46" s="52">
        <f t="shared" si="7"/>
        <v>480.6</v>
      </c>
      <c r="F46" s="55">
        <f t="shared" si="8"/>
        <v>5987.5199999999995</v>
      </c>
    </row>
    <row r="47" spans="1:6" x14ac:dyDescent="0.2">
      <c r="A47" t="s">
        <v>185</v>
      </c>
      <c r="B47">
        <v>140</v>
      </c>
      <c r="C47" s="52">
        <f t="shared" si="5"/>
        <v>7761.5999999999995</v>
      </c>
      <c r="D47" s="52">
        <f t="shared" si="6"/>
        <v>85663.2</v>
      </c>
      <c r="E47" s="52">
        <f t="shared" si="7"/>
        <v>7476</v>
      </c>
      <c r="F47" s="55">
        <f t="shared" si="8"/>
        <v>93139.199999999997</v>
      </c>
    </row>
    <row r="48" spans="1:6" x14ac:dyDescent="0.2">
      <c r="A48" t="s">
        <v>184</v>
      </c>
      <c r="B48">
        <v>55</v>
      </c>
      <c r="C48" s="52">
        <f t="shared" si="5"/>
        <v>3049.2</v>
      </c>
      <c r="D48" s="52">
        <f t="shared" si="6"/>
        <v>33653.399999999994</v>
      </c>
      <c r="E48" s="52">
        <f t="shared" si="7"/>
        <v>2937</v>
      </c>
      <c r="F48" s="55">
        <f t="shared" si="8"/>
        <v>36590.399999999994</v>
      </c>
    </row>
    <row r="49" spans="1:6" x14ac:dyDescent="0.2">
      <c r="A49" t="s">
        <v>183</v>
      </c>
      <c r="B49">
        <v>72</v>
      </c>
      <c r="C49" s="52">
        <f t="shared" si="5"/>
        <v>3991.68</v>
      </c>
      <c r="D49" s="52">
        <f t="shared" si="6"/>
        <v>44055.360000000001</v>
      </c>
      <c r="E49" s="52">
        <f t="shared" si="7"/>
        <v>3844.8</v>
      </c>
      <c r="F49" s="55">
        <f t="shared" si="8"/>
        <v>47900.159999999996</v>
      </c>
    </row>
    <row r="50" spans="1:6" x14ac:dyDescent="0.2">
      <c r="A50" t="s">
        <v>182</v>
      </c>
      <c r="B50">
        <v>45</v>
      </c>
      <c r="C50" s="52">
        <f t="shared" si="5"/>
        <v>2494.7999999999997</v>
      </c>
      <c r="D50" s="52">
        <f t="shared" si="6"/>
        <v>27534.6</v>
      </c>
      <c r="E50" s="52">
        <f t="shared" si="7"/>
        <v>2403</v>
      </c>
      <c r="F50" s="55">
        <f t="shared" si="8"/>
        <v>29937.599999999999</v>
      </c>
    </row>
    <row r="51" spans="1:6" x14ac:dyDescent="0.2">
      <c r="A51" t="s">
        <v>181</v>
      </c>
      <c r="B51">
        <v>28</v>
      </c>
      <c r="C51" s="52">
        <f t="shared" si="5"/>
        <v>1552.32</v>
      </c>
      <c r="D51" s="52">
        <f t="shared" si="6"/>
        <v>17132.64</v>
      </c>
      <c r="E51" s="52">
        <f t="shared" si="7"/>
        <v>1495.2</v>
      </c>
      <c r="F51" s="55">
        <f t="shared" si="8"/>
        <v>18627.84</v>
      </c>
    </row>
    <row r="52" spans="1:6" x14ac:dyDescent="0.2">
      <c r="A52" t="s">
        <v>180</v>
      </c>
      <c r="B52">
        <v>66</v>
      </c>
      <c r="C52" s="52">
        <f t="shared" si="5"/>
        <v>3659.04</v>
      </c>
      <c r="D52" s="52">
        <f t="shared" si="6"/>
        <v>40384.079999999994</v>
      </c>
      <c r="E52" s="52">
        <f t="shared" si="7"/>
        <v>3524.3999999999996</v>
      </c>
      <c r="F52" s="55">
        <f t="shared" si="8"/>
        <v>43908.479999999996</v>
      </c>
    </row>
    <row r="53" spans="1:6" x14ac:dyDescent="0.2">
      <c r="A53" t="s">
        <v>179</v>
      </c>
      <c r="B53">
        <v>15</v>
      </c>
      <c r="C53" s="52">
        <f t="shared" si="5"/>
        <v>831.59999999999991</v>
      </c>
      <c r="D53" s="52">
        <f t="shared" si="6"/>
        <v>9178.1999999999989</v>
      </c>
      <c r="E53" s="52">
        <f t="shared" si="7"/>
        <v>801</v>
      </c>
      <c r="F53" s="55">
        <f t="shared" si="8"/>
        <v>9979.1999999999989</v>
      </c>
    </row>
    <row r="54" spans="1:6" x14ac:dyDescent="0.2">
      <c r="A54" t="s">
        <v>178</v>
      </c>
      <c r="B54">
        <v>59</v>
      </c>
      <c r="C54" s="52">
        <f t="shared" si="5"/>
        <v>3270.96</v>
      </c>
      <c r="D54" s="52">
        <f t="shared" si="6"/>
        <v>36100.92</v>
      </c>
      <c r="E54" s="52">
        <f t="shared" si="7"/>
        <v>3150.6000000000004</v>
      </c>
      <c r="F54" s="55">
        <f t="shared" si="8"/>
        <v>39251.520000000004</v>
      </c>
    </row>
    <row r="55" spans="1:6" x14ac:dyDescent="0.2">
      <c r="A55" t="s">
        <v>177</v>
      </c>
      <c r="B55">
        <v>86</v>
      </c>
      <c r="C55" s="52">
        <f t="shared" si="5"/>
        <v>4767.84</v>
      </c>
      <c r="D55" s="52">
        <f t="shared" si="6"/>
        <v>52621.679999999993</v>
      </c>
      <c r="E55" s="52">
        <f t="shared" si="7"/>
        <v>4592.3999999999996</v>
      </c>
      <c r="F55" s="55">
        <f t="shared" si="8"/>
        <v>57214.080000000002</v>
      </c>
    </row>
    <row r="56" spans="1:6" x14ac:dyDescent="0.2">
      <c r="A56" t="s">
        <v>176</v>
      </c>
      <c r="B56">
        <v>65</v>
      </c>
      <c r="C56" s="52">
        <f t="shared" si="5"/>
        <v>3603.6</v>
      </c>
      <c r="D56" s="52">
        <f t="shared" si="6"/>
        <v>39772.199999999997</v>
      </c>
      <c r="E56" s="52">
        <f t="shared" si="7"/>
        <v>3471</v>
      </c>
      <c r="F56" s="55">
        <f t="shared" si="8"/>
        <v>43243.199999999997</v>
      </c>
    </row>
    <row r="57" spans="1:6" x14ac:dyDescent="0.2">
      <c r="A57" t="s">
        <v>175</v>
      </c>
      <c r="B57">
        <v>43</v>
      </c>
      <c r="C57" s="52">
        <f t="shared" si="5"/>
        <v>2383.92</v>
      </c>
      <c r="D57" s="52">
        <f t="shared" si="6"/>
        <v>26310.839999999997</v>
      </c>
      <c r="E57" s="52">
        <f t="shared" si="7"/>
        <v>2296.1999999999998</v>
      </c>
      <c r="F57" s="55">
        <f t="shared" si="8"/>
        <v>28607.040000000001</v>
      </c>
    </row>
    <row r="58" spans="1:6" x14ac:dyDescent="0.2">
      <c r="A58" t="s">
        <v>174</v>
      </c>
      <c r="B58">
        <v>204</v>
      </c>
      <c r="C58" s="52">
        <f t="shared" si="5"/>
        <v>11309.76</v>
      </c>
      <c r="D58" s="52">
        <f t="shared" si="6"/>
        <v>124823.51999999999</v>
      </c>
      <c r="E58" s="52">
        <f t="shared" si="7"/>
        <v>10893.6</v>
      </c>
      <c r="F58" s="55">
        <f t="shared" si="8"/>
        <v>135717.12</v>
      </c>
    </row>
    <row r="59" spans="1:6" x14ac:dyDescent="0.2">
      <c r="A59" t="s">
        <v>173</v>
      </c>
      <c r="B59">
        <v>42</v>
      </c>
      <c r="C59" s="52">
        <f t="shared" si="5"/>
        <v>2328.48</v>
      </c>
      <c r="D59" s="52">
        <f t="shared" si="6"/>
        <v>25698.959999999999</v>
      </c>
      <c r="E59" s="52">
        <f t="shared" si="7"/>
        <v>2242.8000000000002</v>
      </c>
      <c r="F59" s="55">
        <f t="shared" si="8"/>
        <v>27941.760000000002</v>
      </c>
    </row>
    <row r="60" spans="1:6" x14ac:dyDescent="0.2">
      <c r="A60" t="s">
        <v>172</v>
      </c>
      <c r="B60">
        <v>87</v>
      </c>
      <c r="C60" s="52">
        <f t="shared" si="5"/>
        <v>4823.28</v>
      </c>
      <c r="D60" s="52">
        <f t="shared" si="6"/>
        <v>53233.55999999999</v>
      </c>
      <c r="E60" s="52">
        <f t="shared" si="7"/>
        <v>4645.8</v>
      </c>
      <c r="F60" s="55">
        <f t="shared" si="8"/>
        <v>57879.360000000001</v>
      </c>
    </row>
    <row r="61" spans="1:6" x14ac:dyDescent="0.2">
      <c r="A61" t="s">
        <v>171</v>
      </c>
      <c r="B61">
        <v>102</v>
      </c>
      <c r="C61" s="52">
        <f t="shared" si="5"/>
        <v>5654.88</v>
      </c>
      <c r="D61" s="52">
        <f t="shared" si="6"/>
        <v>62411.759999999995</v>
      </c>
      <c r="E61" s="52">
        <f t="shared" si="7"/>
        <v>5446.8</v>
      </c>
      <c r="F61" s="55">
        <f t="shared" si="8"/>
        <v>67858.559999999998</v>
      </c>
    </row>
    <row r="62" spans="1:6" x14ac:dyDescent="0.2">
      <c r="A62" t="s">
        <v>170</v>
      </c>
      <c r="B62">
        <v>3</v>
      </c>
      <c r="C62" s="52">
        <f t="shared" si="5"/>
        <v>166.32</v>
      </c>
      <c r="D62" s="52">
        <f t="shared" si="6"/>
        <v>1835.6399999999996</v>
      </c>
      <c r="E62" s="52">
        <f t="shared" si="7"/>
        <v>160.20000000000002</v>
      </c>
      <c r="F62" s="55">
        <f t="shared" si="8"/>
        <v>1995.84</v>
      </c>
    </row>
    <row r="63" spans="1:6" x14ac:dyDescent="0.2">
      <c r="A63" t="s">
        <v>169</v>
      </c>
      <c r="B63">
        <v>3</v>
      </c>
      <c r="C63" s="52">
        <f t="shared" si="5"/>
        <v>166.32</v>
      </c>
      <c r="D63" s="52">
        <f t="shared" si="6"/>
        <v>1835.6399999999996</v>
      </c>
      <c r="E63" s="52">
        <f t="shared" si="7"/>
        <v>160.20000000000002</v>
      </c>
      <c r="F63" s="55">
        <f t="shared" si="8"/>
        <v>1995.84</v>
      </c>
    </row>
    <row r="64" spans="1:6" x14ac:dyDescent="0.2">
      <c r="A64" t="s">
        <v>168</v>
      </c>
      <c r="B64">
        <v>3</v>
      </c>
      <c r="C64" s="52">
        <f t="shared" si="5"/>
        <v>166.32</v>
      </c>
      <c r="D64" s="52">
        <f t="shared" si="6"/>
        <v>1835.6399999999996</v>
      </c>
      <c r="E64" s="52">
        <f t="shared" si="7"/>
        <v>160.20000000000002</v>
      </c>
      <c r="F64" s="55">
        <f t="shared" si="8"/>
        <v>1995.84</v>
      </c>
    </row>
    <row r="65" spans="1:6" x14ac:dyDescent="0.2">
      <c r="A65" t="s">
        <v>167</v>
      </c>
      <c r="B65">
        <v>1</v>
      </c>
      <c r="C65" s="52">
        <f t="shared" si="5"/>
        <v>55.44</v>
      </c>
      <c r="D65" s="52">
        <f t="shared" si="6"/>
        <v>611.87999999999988</v>
      </c>
      <c r="E65" s="52">
        <f t="shared" si="7"/>
        <v>53.400000000000006</v>
      </c>
      <c r="F65" s="55">
        <f t="shared" si="8"/>
        <v>665.28</v>
      </c>
    </row>
    <row r="66" spans="1:6" x14ac:dyDescent="0.2">
      <c r="A66" s="1" t="s">
        <v>166</v>
      </c>
      <c r="B66" s="1">
        <f>SUM(B29:B65)</f>
        <v>2089</v>
      </c>
      <c r="C66" s="53">
        <f>SUM(C29:C65)</f>
        <v>115814.16000000002</v>
      </c>
      <c r="D66" s="53">
        <f>SUM(D29:D65)</f>
        <v>1278217.3199999991</v>
      </c>
      <c r="E66" s="53">
        <f>SUM(E29:E65)</f>
        <v>111552.59999999999</v>
      </c>
      <c r="F66" s="57">
        <f>SUM(F29:F65)</f>
        <v>1389769.9200000004</v>
      </c>
    </row>
    <row r="67" spans="1:6" x14ac:dyDescent="0.2">
      <c r="A67" s="1"/>
      <c r="B67" s="1"/>
      <c r="C67" s="53"/>
      <c r="D67" s="53"/>
      <c r="E67" s="53"/>
      <c r="F67" s="57"/>
    </row>
    <row r="68" spans="1:6" x14ac:dyDescent="0.2">
      <c r="A68" s="1" t="s">
        <v>165</v>
      </c>
      <c r="B68" s="1">
        <f>SUM(B24+B66)</f>
        <v>2835</v>
      </c>
      <c r="C68" s="53">
        <f>SUM(C24+C66)</f>
        <v>137425.78000000003</v>
      </c>
      <c r="D68" s="53">
        <f>SUM(D24+D66)</f>
        <v>1497720.3599999992</v>
      </c>
      <c r="E68" s="53">
        <f>SUM(E24+E66)</f>
        <v>151389</v>
      </c>
      <c r="F68" s="53">
        <f>SUM(F24+F66)</f>
        <v>1649109.3600000003</v>
      </c>
    </row>
    <row r="69" spans="1:6" x14ac:dyDescent="0.2">
      <c r="A69" s="1"/>
      <c r="B69" s="1"/>
      <c r="C69" s="53"/>
      <c r="D69" s="53"/>
      <c r="E69" s="53"/>
      <c r="F69" s="1"/>
    </row>
    <row r="70" spans="1:6" x14ac:dyDescent="0.2">
      <c r="A70" s="1" t="s">
        <v>164</v>
      </c>
      <c r="B70" s="1"/>
      <c r="C70" s="53"/>
      <c r="D70" s="53"/>
      <c r="E70" s="53"/>
      <c r="F70" s="1"/>
    </row>
    <row r="71" spans="1:6" x14ac:dyDescent="0.2">
      <c r="A71" s="30" t="s">
        <v>163</v>
      </c>
      <c r="B71" s="1"/>
      <c r="C71" s="53"/>
      <c r="D71" s="53"/>
      <c r="E71" s="53"/>
      <c r="F71" s="53">
        <f>+'income &amp; expenses'!O10</f>
        <v>12000</v>
      </c>
    </row>
    <row r="72" spans="1:6" x14ac:dyDescent="0.2">
      <c r="A72" t="s">
        <v>162</v>
      </c>
      <c r="B72">
        <v>1</v>
      </c>
      <c r="C72" s="53"/>
      <c r="D72" s="52"/>
      <c r="E72" s="52"/>
      <c r="F72" s="53">
        <f>+'income &amp; expenses'!O13</f>
        <v>23078.818599999999</v>
      </c>
    </row>
    <row r="73" spans="1:6" x14ac:dyDescent="0.2">
      <c r="A73" s="30" t="s">
        <v>161</v>
      </c>
      <c r="B73" s="30">
        <v>1</v>
      </c>
      <c r="C73" s="53"/>
      <c r="D73" s="53"/>
      <c r="E73" s="53"/>
      <c r="F73" s="53">
        <f>+'income &amp; expenses'!O12</f>
        <v>82382</v>
      </c>
    </row>
    <row r="74" spans="1:6" x14ac:dyDescent="0.2">
      <c r="A74" s="1" t="s">
        <v>160</v>
      </c>
      <c r="B74" s="1"/>
      <c r="C74" s="53"/>
      <c r="D74" s="53"/>
      <c r="E74" s="53"/>
      <c r="F74" s="57">
        <f>SUM(F68:F73)-E68</f>
        <v>1615181.1786000002</v>
      </c>
    </row>
    <row r="75" spans="1:6" x14ac:dyDescent="0.2">
      <c r="A75" s="56" t="s">
        <v>159</v>
      </c>
      <c r="C75" s="52"/>
      <c r="D75" s="52"/>
      <c r="E75" s="52"/>
      <c r="F75" s="52">
        <f>+'income &amp; expenses'!O62</f>
        <v>1589007.85</v>
      </c>
    </row>
    <row r="76" spans="1:6" x14ac:dyDescent="0.2">
      <c r="A76" s="30" t="s">
        <v>158</v>
      </c>
      <c r="C76" s="52"/>
      <c r="D76" s="52"/>
      <c r="E76" s="52"/>
      <c r="F76" s="55">
        <f>SUM(F74-F75)</f>
        <v>26173.328600000124</v>
      </c>
    </row>
  </sheetData>
  <sheetProtection algorithmName="SHA-512" hashValue="Us0V1L4H2kDuz5Dx9NFzK6pyqyJMRfw/bbATd+A70hUG7Vb78Yw3V/K873PBqDE5L1SZVrsnWq9tByq/WUjeKw==" saltValue="ptEQnUxETkc+tnTILC/ixg==" spinCount="100000" sheet="1" objects="1" scenarios="1"/>
  <pageMargins left="0.7" right="0.7" top="0.75" bottom="0.75" header="0.3" footer="0.3"/>
  <pageSetup scale="58" orientation="portrait" r:id="rId1"/>
  <headerFooter>
    <oddHeader>&amp;C&amp;A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6"/>
  <sheetViews>
    <sheetView topLeftCell="A42" workbookViewId="0">
      <selection activeCell="F74" sqref="F74"/>
    </sheetView>
  </sheetViews>
  <sheetFormatPr defaultRowHeight="12.75" x14ac:dyDescent="0.2"/>
  <cols>
    <col min="1" max="1" width="24.85546875" customWidth="1"/>
    <col min="3" max="3" width="12.28515625" bestFit="1" customWidth="1"/>
    <col min="4" max="4" width="14.42578125" bestFit="1" customWidth="1"/>
    <col min="5" max="5" width="13.85546875" bestFit="1" customWidth="1"/>
    <col min="6" max="6" width="16.7109375" bestFit="1" customWidth="1"/>
    <col min="13" max="13" width="12.42578125" customWidth="1"/>
  </cols>
  <sheetData>
    <row r="1" spans="1:13" x14ac:dyDescent="0.2">
      <c r="C1" s="52"/>
      <c r="D1" s="52"/>
      <c r="E1" s="52"/>
    </row>
    <row r="2" spans="1:13" x14ac:dyDescent="0.2">
      <c r="A2" s="1"/>
      <c r="B2" s="1"/>
      <c r="C2" s="52">
        <f>ROUND((+' Income 2018'!C2)*(1+' Income 2019'!I2),2)</f>
        <v>30.85</v>
      </c>
      <c r="D2" s="52">
        <f>+C2-E2</f>
        <v>26</v>
      </c>
      <c r="E2" s="52">
        <v>4.8499999999999996</v>
      </c>
      <c r="F2" s="111" t="s">
        <v>265</v>
      </c>
      <c r="I2" s="112">
        <v>6.5000000000000002E-2</v>
      </c>
      <c r="J2" s="30" t="s">
        <v>266</v>
      </c>
    </row>
    <row r="3" spans="1:13" x14ac:dyDescent="0.2">
      <c r="A3" s="2" t="s">
        <v>236</v>
      </c>
      <c r="B3" s="2" t="s">
        <v>213</v>
      </c>
      <c r="C3" s="58" t="s">
        <v>212</v>
      </c>
      <c r="D3" s="58" t="s">
        <v>211</v>
      </c>
      <c r="E3" s="58" t="s">
        <v>210</v>
      </c>
      <c r="F3" s="58" t="s">
        <v>209</v>
      </c>
      <c r="M3" s="124" t="s">
        <v>280</v>
      </c>
    </row>
    <row r="4" spans="1:13" x14ac:dyDescent="0.2">
      <c r="A4" s="2" t="s">
        <v>208</v>
      </c>
      <c r="B4" s="2" t="s">
        <v>207</v>
      </c>
      <c r="C4" s="58" t="s">
        <v>206</v>
      </c>
      <c r="D4" s="58" t="s">
        <v>235</v>
      </c>
      <c r="E4" s="58" t="s">
        <v>204</v>
      </c>
      <c r="F4" s="2" t="s">
        <v>203</v>
      </c>
    </row>
    <row r="5" spans="1:13" x14ac:dyDescent="0.2">
      <c r="A5" t="s">
        <v>234</v>
      </c>
      <c r="C5" s="52"/>
      <c r="D5" s="52"/>
      <c r="E5" s="52"/>
      <c r="F5" s="55"/>
    </row>
    <row r="6" spans="1:13" x14ac:dyDescent="0.2">
      <c r="A6" t="s">
        <v>233</v>
      </c>
      <c r="C6" s="52"/>
      <c r="D6" s="52"/>
      <c r="E6" s="52"/>
      <c r="F6" s="55"/>
    </row>
    <row r="7" spans="1:13" s="120" customFormat="1" x14ac:dyDescent="0.2">
      <c r="A7" s="120" t="s">
        <v>232</v>
      </c>
      <c r="B7" s="120">
        <v>0</v>
      </c>
      <c r="C7" s="121">
        <f>SUM($C$2*B7)</f>
        <v>0</v>
      </c>
      <c r="D7" s="121">
        <f>SUM($D$2*B7*12)</f>
        <v>0</v>
      </c>
      <c r="E7" s="121">
        <f>SUM($E$2*12*B7)</f>
        <v>0</v>
      </c>
      <c r="F7" s="122">
        <f>SUM(C7*12)</f>
        <v>0</v>
      </c>
      <c r="G7" s="120">
        <v>72</v>
      </c>
      <c r="I7" s="123" t="s">
        <v>276</v>
      </c>
      <c r="M7" s="120">
        <f>+F7</f>
        <v>0</v>
      </c>
    </row>
    <row r="8" spans="1:13" x14ac:dyDescent="0.2">
      <c r="A8" t="s">
        <v>231</v>
      </c>
      <c r="C8" s="52"/>
      <c r="D8" s="52"/>
      <c r="E8" s="52"/>
      <c r="F8" s="55"/>
    </row>
    <row r="9" spans="1:13" x14ac:dyDescent="0.2">
      <c r="A9" t="s">
        <v>230</v>
      </c>
      <c r="B9">
        <v>104</v>
      </c>
      <c r="C9" s="52">
        <f>SUM($C$2*B9)</f>
        <v>3208.4</v>
      </c>
      <c r="D9" s="52">
        <f>SUM($D$2*B9*12)</f>
        <v>32448</v>
      </c>
      <c r="E9" s="52">
        <f>SUM($E$2*12*B9)</f>
        <v>6052.7999999999993</v>
      </c>
      <c r="F9" s="55">
        <f>SUM(C9*12)</f>
        <v>38500.800000000003</v>
      </c>
      <c r="H9" s="124" t="s">
        <v>277</v>
      </c>
    </row>
    <row r="10" spans="1:13" s="120" customFormat="1" x14ac:dyDescent="0.2">
      <c r="A10" s="120" t="s">
        <v>229</v>
      </c>
      <c r="B10" s="120">
        <v>0</v>
      </c>
      <c r="C10" s="121">
        <f>SUM($C$2*B10)</f>
        <v>0</v>
      </c>
      <c r="D10" s="121">
        <f>SUM($D$2*B10*12)</f>
        <v>0</v>
      </c>
      <c r="E10" s="121">
        <f>SUM($E$2*12*B10)</f>
        <v>0</v>
      </c>
      <c r="F10" s="122">
        <f>SUM(C10*12)</f>
        <v>0</v>
      </c>
      <c r="G10" s="120">
        <v>80</v>
      </c>
      <c r="I10" s="123" t="s">
        <v>276</v>
      </c>
    </row>
    <row r="11" spans="1:13" x14ac:dyDescent="0.2">
      <c r="A11" t="s">
        <v>228</v>
      </c>
      <c r="C11" s="52"/>
      <c r="D11" s="52"/>
      <c r="E11" s="52"/>
      <c r="F11" s="55"/>
    </row>
    <row r="12" spans="1:13" s="120" customFormat="1" x14ac:dyDescent="0.2">
      <c r="A12" s="120" t="s">
        <v>227</v>
      </c>
      <c r="B12" s="120">
        <v>0</v>
      </c>
      <c r="C12" s="121">
        <f>SUM($C$2*B12)</f>
        <v>0</v>
      </c>
      <c r="D12" s="121">
        <f>SUM($D$2*B12*12)</f>
        <v>0</v>
      </c>
      <c r="E12" s="121">
        <f>SUM($E$2*12*B12)</f>
        <v>0</v>
      </c>
      <c r="F12" s="122">
        <f>SUM(C12*12)</f>
        <v>0</v>
      </c>
      <c r="G12" s="120">
        <v>124</v>
      </c>
      <c r="I12" s="123" t="s">
        <v>275</v>
      </c>
      <c r="M12" s="122"/>
    </row>
    <row r="13" spans="1:13" x14ac:dyDescent="0.2">
      <c r="A13" t="s">
        <v>226</v>
      </c>
      <c r="C13" s="52"/>
      <c r="D13" s="52"/>
      <c r="E13" s="52"/>
      <c r="F13" s="55"/>
    </row>
    <row r="14" spans="1:13" x14ac:dyDescent="0.2">
      <c r="A14" t="s">
        <v>225</v>
      </c>
      <c r="B14">
        <v>132</v>
      </c>
      <c r="C14" s="52">
        <f t="shared" ref="C14:C21" si="0">SUM($C$2*B14)</f>
        <v>4072.2000000000003</v>
      </c>
      <c r="D14" s="52">
        <f t="shared" ref="D14:D21" si="1">SUM($D$2*B14*12)</f>
        <v>41184</v>
      </c>
      <c r="E14" s="52">
        <f t="shared" ref="E14:E21" si="2">SUM($E$2*12*B14)</f>
        <v>7682.4</v>
      </c>
      <c r="F14" s="55">
        <f t="shared" ref="F14:F21" si="3">SUM(C14*12)</f>
        <v>48866.400000000001</v>
      </c>
      <c r="M14" s="55">
        <f t="shared" ref="M14:M19" si="4">+F14</f>
        <v>48866.400000000001</v>
      </c>
    </row>
    <row r="15" spans="1:13" x14ac:dyDescent="0.2">
      <c r="A15" t="s">
        <v>224</v>
      </c>
      <c r="B15">
        <v>28</v>
      </c>
      <c r="C15" s="52">
        <f t="shared" si="0"/>
        <v>863.80000000000007</v>
      </c>
      <c r="D15" s="52">
        <f t="shared" si="1"/>
        <v>8736</v>
      </c>
      <c r="E15" s="52">
        <f t="shared" si="2"/>
        <v>1629.6</v>
      </c>
      <c r="F15" s="55">
        <f t="shared" si="3"/>
        <v>10365.6</v>
      </c>
      <c r="H15" s="124" t="s">
        <v>277</v>
      </c>
      <c r="M15" s="55"/>
    </row>
    <row r="16" spans="1:13" s="120" customFormat="1" x14ac:dyDescent="0.2">
      <c r="A16" s="120" t="s">
        <v>223</v>
      </c>
      <c r="B16" s="120">
        <v>0</v>
      </c>
      <c r="C16" s="121">
        <f t="shared" si="0"/>
        <v>0</v>
      </c>
      <c r="D16" s="121">
        <f t="shared" si="1"/>
        <v>0</v>
      </c>
      <c r="E16" s="121">
        <f t="shared" si="2"/>
        <v>0</v>
      </c>
      <c r="F16" s="122">
        <f t="shared" si="3"/>
        <v>0</v>
      </c>
      <c r="G16" s="120">
        <v>34</v>
      </c>
      <c r="I16" s="123" t="s">
        <v>276</v>
      </c>
    </row>
    <row r="17" spans="1:13" x14ac:dyDescent="0.2">
      <c r="A17" t="s">
        <v>222</v>
      </c>
      <c r="B17">
        <v>35</v>
      </c>
      <c r="C17" s="52">
        <f t="shared" si="0"/>
        <v>1079.75</v>
      </c>
      <c r="D17" s="52">
        <f t="shared" si="1"/>
        <v>10920</v>
      </c>
      <c r="E17" s="52">
        <f t="shared" si="2"/>
        <v>2036.9999999999998</v>
      </c>
      <c r="F17" s="55">
        <f t="shared" si="3"/>
        <v>12957</v>
      </c>
      <c r="H17" s="124" t="s">
        <v>277</v>
      </c>
      <c r="M17" s="55"/>
    </row>
    <row r="18" spans="1:13" s="120" customFormat="1" x14ac:dyDescent="0.2">
      <c r="A18" s="120" t="s">
        <v>221</v>
      </c>
      <c r="B18" s="120">
        <v>0</v>
      </c>
      <c r="C18" s="121">
        <f t="shared" si="0"/>
        <v>0</v>
      </c>
      <c r="D18" s="121">
        <f t="shared" si="1"/>
        <v>0</v>
      </c>
      <c r="E18" s="121">
        <f t="shared" si="2"/>
        <v>0</v>
      </c>
      <c r="F18" s="122">
        <f t="shared" si="3"/>
        <v>0</v>
      </c>
      <c r="G18" s="120">
        <v>99</v>
      </c>
      <c r="I18" s="123" t="s">
        <v>276</v>
      </c>
    </row>
    <row r="19" spans="1:13" s="120" customFormat="1" x14ac:dyDescent="0.2">
      <c r="A19" s="120" t="s">
        <v>220</v>
      </c>
      <c r="B19" s="120">
        <v>0</v>
      </c>
      <c r="C19" s="121">
        <f t="shared" si="0"/>
        <v>0</v>
      </c>
      <c r="D19" s="121">
        <f t="shared" si="1"/>
        <v>0</v>
      </c>
      <c r="E19" s="121">
        <f t="shared" si="2"/>
        <v>0</v>
      </c>
      <c r="F19" s="122">
        <f t="shared" si="3"/>
        <v>0</v>
      </c>
      <c r="G19" s="120">
        <v>77</v>
      </c>
      <c r="I19" s="123" t="s">
        <v>276</v>
      </c>
      <c r="M19" s="120">
        <f t="shared" si="4"/>
        <v>0</v>
      </c>
    </row>
    <row r="20" spans="1:13" s="120" customFormat="1" ht="12" customHeight="1" x14ac:dyDescent="0.2">
      <c r="A20" s="120" t="s">
        <v>219</v>
      </c>
      <c r="B20" s="120">
        <v>0</v>
      </c>
      <c r="C20" s="121">
        <f t="shared" si="0"/>
        <v>0</v>
      </c>
      <c r="D20" s="121">
        <f t="shared" si="1"/>
        <v>0</v>
      </c>
      <c r="E20" s="121">
        <f t="shared" si="2"/>
        <v>0</v>
      </c>
      <c r="F20" s="122">
        <f t="shared" si="3"/>
        <v>0</v>
      </c>
      <c r="G20" s="120">
        <v>33</v>
      </c>
      <c r="I20" s="123" t="s">
        <v>276</v>
      </c>
    </row>
    <row r="21" spans="1:13" s="120" customFormat="1" x14ac:dyDescent="0.2">
      <c r="A21" s="120" t="s">
        <v>218</v>
      </c>
      <c r="B21" s="120">
        <v>0</v>
      </c>
      <c r="C21" s="121">
        <f t="shared" si="0"/>
        <v>0</v>
      </c>
      <c r="D21" s="121">
        <f t="shared" si="1"/>
        <v>0</v>
      </c>
      <c r="E21" s="121">
        <f t="shared" si="2"/>
        <v>0</v>
      </c>
      <c r="F21" s="122">
        <f t="shared" si="3"/>
        <v>0</v>
      </c>
      <c r="G21" s="120">
        <v>67</v>
      </c>
      <c r="I21" s="123" t="s">
        <v>276</v>
      </c>
    </row>
    <row r="22" spans="1:13" x14ac:dyDescent="0.2">
      <c r="A22" t="s">
        <v>217</v>
      </c>
      <c r="C22" s="52"/>
      <c r="D22" s="52"/>
      <c r="E22" s="52"/>
      <c r="F22" s="55"/>
    </row>
    <row r="23" spans="1:13" x14ac:dyDescent="0.2">
      <c r="A23" t="s">
        <v>216</v>
      </c>
      <c r="B23">
        <v>246</v>
      </c>
      <c r="C23" s="52">
        <f>SUM($C$2*B23)</f>
        <v>7589.1</v>
      </c>
      <c r="D23" s="52">
        <f>SUM($D$2*B23*12)</f>
        <v>76752</v>
      </c>
      <c r="E23" s="52">
        <f>SUM($E$2*12*B23)</f>
        <v>14317.199999999999</v>
      </c>
      <c r="F23" s="55">
        <f>SUM(C23*12)</f>
        <v>91069.200000000012</v>
      </c>
      <c r="H23" s="124" t="s">
        <v>277</v>
      </c>
      <c r="I23" s="124"/>
    </row>
    <row r="24" spans="1:13" x14ac:dyDescent="0.2">
      <c r="A24" s="1" t="s">
        <v>215</v>
      </c>
      <c r="B24" s="1">
        <f>SUM(B5:B23)</f>
        <v>545</v>
      </c>
      <c r="C24" s="53">
        <f>SUM(C5:C23)</f>
        <v>16813.25</v>
      </c>
      <c r="D24" s="53">
        <f>SUM(D5:D23)</f>
        <v>170040</v>
      </c>
      <c r="E24" s="53">
        <f>SUM(E5:E23)</f>
        <v>31719</v>
      </c>
      <c r="F24" s="57">
        <f>SUM(C24*12)</f>
        <v>201759</v>
      </c>
      <c r="G24" s="1">
        <f>SUM(G5:G23)</f>
        <v>586</v>
      </c>
      <c r="M24" s="55">
        <f>SUM(M7:M21)</f>
        <v>48866.400000000001</v>
      </c>
    </row>
    <row r="25" spans="1:13" x14ac:dyDescent="0.2">
      <c r="A25" s="1"/>
      <c r="B25" s="1"/>
      <c r="C25" s="53"/>
      <c r="D25" s="53"/>
      <c r="E25" s="53"/>
      <c r="F25" s="57"/>
    </row>
    <row r="26" spans="1:13" x14ac:dyDescent="0.2">
      <c r="A26" s="1"/>
      <c r="B26" s="1"/>
      <c r="C26" s="52">
        <f>ROUND((+' Income 2018'!C26)*(1+' Income 2019'!I26),2)</f>
        <v>57.1</v>
      </c>
      <c r="D26" s="54">
        <f>+C26-E26</f>
        <v>52.25</v>
      </c>
      <c r="E26" s="54">
        <f>+E2</f>
        <v>4.8499999999999996</v>
      </c>
      <c r="F26" s="59"/>
      <c r="I26" s="112">
        <v>0.03</v>
      </c>
      <c r="J26" s="30" t="s">
        <v>266</v>
      </c>
    </row>
    <row r="27" spans="1:13" x14ac:dyDescent="0.2">
      <c r="A27" s="2" t="s">
        <v>214</v>
      </c>
      <c r="B27" s="2" t="s">
        <v>213</v>
      </c>
      <c r="C27" s="58" t="s">
        <v>212</v>
      </c>
      <c r="D27" s="58" t="s">
        <v>211</v>
      </c>
      <c r="E27" s="58" t="s">
        <v>210</v>
      </c>
      <c r="F27" s="58" t="s">
        <v>209</v>
      </c>
    </row>
    <row r="28" spans="1:13" x14ac:dyDescent="0.2">
      <c r="A28" s="2" t="s">
        <v>208</v>
      </c>
      <c r="B28" s="2" t="s">
        <v>207</v>
      </c>
      <c r="C28" s="58" t="s">
        <v>206</v>
      </c>
      <c r="D28" s="58" t="s">
        <v>205</v>
      </c>
      <c r="E28" s="58" t="s">
        <v>204</v>
      </c>
      <c r="F28" s="2" t="s">
        <v>203</v>
      </c>
    </row>
    <row r="29" spans="1:13" x14ac:dyDescent="0.2">
      <c r="A29" t="s">
        <v>202</v>
      </c>
      <c r="B29">
        <v>165</v>
      </c>
      <c r="C29" s="52">
        <f t="shared" ref="C29:C65" si="5">SUM($C$26*B29)</f>
        <v>9421.5</v>
      </c>
      <c r="D29" s="52">
        <f t="shared" ref="D29:D65" si="6">SUM($D$26*B29*12)</f>
        <v>103455</v>
      </c>
      <c r="E29" s="52">
        <f t="shared" ref="E29:E65" si="7">SUM($E$26*B29*12)</f>
        <v>9602.9999999999982</v>
      </c>
      <c r="F29" s="55">
        <f t="shared" ref="F29:F65" si="8">SUM(C29*12)</f>
        <v>113058</v>
      </c>
    </row>
    <row r="30" spans="1:13" x14ac:dyDescent="0.2">
      <c r="A30" t="s">
        <v>201</v>
      </c>
      <c r="B30">
        <v>3</v>
      </c>
      <c r="C30" s="52">
        <f t="shared" si="5"/>
        <v>171.3</v>
      </c>
      <c r="D30" s="52">
        <f t="shared" si="6"/>
        <v>1881</v>
      </c>
      <c r="E30" s="52">
        <f t="shared" si="7"/>
        <v>174.6</v>
      </c>
      <c r="F30" s="55">
        <f t="shared" si="8"/>
        <v>2055.6000000000004</v>
      </c>
    </row>
    <row r="31" spans="1:13" x14ac:dyDescent="0.2">
      <c r="A31" t="s">
        <v>250</v>
      </c>
      <c r="B31">
        <v>12</v>
      </c>
      <c r="C31" s="52">
        <f t="shared" si="5"/>
        <v>685.2</v>
      </c>
      <c r="D31" s="52">
        <f t="shared" si="6"/>
        <v>7524</v>
      </c>
      <c r="E31" s="52">
        <f t="shared" si="7"/>
        <v>698.4</v>
      </c>
      <c r="F31" s="55">
        <f t="shared" si="8"/>
        <v>8222.4000000000015</v>
      </c>
    </row>
    <row r="32" spans="1:13" x14ac:dyDescent="0.2">
      <c r="A32" t="s">
        <v>200</v>
      </c>
      <c r="B32">
        <v>50</v>
      </c>
      <c r="C32" s="52">
        <f t="shared" si="5"/>
        <v>2855</v>
      </c>
      <c r="D32" s="52">
        <f t="shared" si="6"/>
        <v>31350</v>
      </c>
      <c r="E32" s="52">
        <f t="shared" si="7"/>
        <v>2909.9999999999995</v>
      </c>
      <c r="F32" s="55">
        <f t="shared" si="8"/>
        <v>34260</v>
      </c>
    </row>
    <row r="33" spans="1:6" x14ac:dyDescent="0.2">
      <c r="A33" t="s">
        <v>199</v>
      </c>
      <c r="B33">
        <v>122</v>
      </c>
      <c r="C33" s="52">
        <f t="shared" si="5"/>
        <v>6966.2</v>
      </c>
      <c r="D33" s="52">
        <f t="shared" si="6"/>
        <v>76494</v>
      </c>
      <c r="E33" s="52">
        <f t="shared" si="7"/>
        <v>7100.4</v>
      </c>
      <c r="F33" s="55">
        <f t="shared" si="8"/>
        <v>83594.399999999994</v>
      </c>
    </row>
    <row r="34" spans="1:6" x14ac:dyDescent="0.2">
      <c r="A34" t="s">
        <v>198</v>
      </c>
      <c r="B34">
        <v>157</v>
      </c>
      <c r="C34" s="52">
        <f t="shared" si="5"/>
        <v>8964.7000000000007</v>
      </c>
      <c r="D34" s="52">
        <f t="shared" si="6"/>
        <v>98439</v>
      </c>
      <c r="E34" s="52">
        <f t="shared" si="7"/>
        <v>9137.4</v>
      </c>
      <c r="F34" s="55">
        <f t="shared" si="8"/>
        <v>107576.40000000001</v>
      </c>
    </row>
    <row r="35" spans="1:6" x14ac:dyDescent="0.2">
      <c r="A35" t="s">
        <v>197</v>
      </c>
      <c r="B35">
        <v>49</v>
      </c>
      <c r="C35" s="52">
        <f t="shared" si="5"/>
        <v>2797.9</v>
      </c>
      <c r="D35" s="52">
        <f t="shared" si="6"/>
        <v>30723</v>
      </c>
      <c r="E35" s="52">
        <f t="shared" si="7"/>
        <v>2851.7999999999997</v>
      </c>
      <c r="F35" s="55">
        <f t="shared" si="8"/>
        <v>33574.800000000003</v>
      </c>
    </row>
    <row r="36" spans="1:6" x14ac:dyDescent="0.2">
      <c r="A36" t="s">
        <v>196</v>
      </c>
      <c r="B36">
        <v>32</v>
      </c>
      <c r="C36" s="52">
        <f t="shared" si="5"/>
        <v>1827.2</v>
      </c>
      <c r="D36" s="52">
        <f t="shared" si="6"/>
        <v>20064</v>
      </c>
      <c r="E36" s="52">
        <f t="shared" si="7"/>
        <v>1862.3999999999999</v>
      </c>
      <c r="F36" s="55">
        <f t="shared" si="8"/>
        <v>21926.400000000001</v>
      </c>
    </row>
    <row r="37" spans="1:6" x14ac:dyDescent="0.2">
      <c r="A37" t="s">
        <v>195</v>
      </c>
      <c r="B37">
        <v>24</v>
      </c>
      <c r="C37" s="52">
        <f t="shared" si="5"/>
        <v>1370.4</v>
      </c>
      <c r="D37" s="52">
        <f t="shared" si="6"/>
        <v>15048</v>
      </c>
      <c r="E37" s="52">
        <f t="shared" si="7"/>
        <v>1396.8</v>
      </c>
      <c r="F37" s="55">
        <f t="shared" si="8"/>
        <v>16444.800000000003</v>
      </c>
    </row>
    <row r="38" spans="1:6" x14ac:dyDescent="0.2">
      <c r="A38" t="s">
        <v>194</v>
      </c>
      <c r="B38">
        <v>34</v>
      </c>
      <c r="C38" s="52">
        <f t="shared" si="5"/>
        <v>1941.4</v>
      </c>
      <c r="D38" s="52">
        <f t="shared" si="6"/>
        <v>21318</v>
      </c>
      <c r="E38" s="52">
        <f t="shared" si="7"/>
        <v>1978.7999999999997</v>
      </c>
      <c r="F38" s="55">
        <f t="shared" si="8"/>
        <v>23296.800000000003</v>
      </c>
    </row>
    <row r="39" spans="1:6" x14ac:dyDescent="0.2">
      <c r="A39" t="s">
        <v>193</v>
      </c>
      <c r="B39">
        <v>22</v>
      </c>
      <c r="C39" s="52">
        <f t="shared" si="5"/>
        <v>1256.2</v>
      </c>
      <c r="D39" s="52">
        <f t="shared" si="6"/>
        <v>13794</v>
      </c>
      <c r="E39" s="52">
        <f t="shared" si="7"/>
        <v>1280.3999999999999</v>
      </c>
      <c r="F39" s="55">
        <f t="shared" si="8"/>
        <v>15074.400000000001</v>
      </c>
    </row>
    <row r="40" spans="1:6" x14ac:dyDescent="0.2">
      <c r="A40" t="s">
        <v>192</v>
      </c>
      <c r="B40">
        <v>42</v>
      </c>
      <c r="C40" s="52">
        <f t="shared" si="5"/>
        <v>2398.2000000000003</v>
      </c>
      <c r="D40" s="52">
        <f t="shared" si="6"/>
        <v>26334</v>
      </c>
      <c r="E40" s="52">
        <f t="shared" si="7"/>
        <v>2444.3999999999996</v>
      </c>
      <c r="F40" s="55">
        <f t="shared" si="8"/>
        <v>28778.400000000001</v>
      </c>
    </row>
    <row r="41" spans="1:6" x14ac:dyDescent="0.2">
      <c r="A41" t="s">
        <v>191</v>
      </c>
      <c r="B41">
        <v>111</v>
      </c>
      <c r="C41" s="52">
        <f t="shared" si="5"/>
        <v>6338.1</v>
      </c>
      <c r="D41" s="52">
        <f t="shared" si="6"/>
        <v>69597</v>
      </c>
      <c r="E41" s="52">
        <f t="shared" si="7"/>
        <v>6460.1999999999989</v>
      </c>
      <c r="F41" s="55">
        <f t="shared" si="8"/>
        <v>76057.200000000012</v>
      </c>
    </row>
    <row r="42" spans="1:6" x14ac:dyDescent="0.2">
      <c r="A42" t="s">
        <v>190</v>
      </c>
      <c r="B42">
        <v>42</v>
      </c>
      <c r="C42" s="52">
        <f t="shared" si="5"/>
        <v>2398.2000000000003</v>
      </c>
      <c r="D42" s="52">
        <f t="shared" si="6"/>
        <v>26334</v>
      </c>
      <c r="E42" s="52">
        <f t="shared" si="7"/>
        <v>2444.3999999999996</v>
      </c>
      <c r="F42" s="55">
        <f t="shared" si="8"/>
        <v>28778.400000000001</v>
      </c>
    </row>
    <row r="43" spans="1:6" x14ac:dyDescent="0.2">
      <c r="A43" t="s">
        <v>189</v>
      </c>
      <c r="B43">
        <v>64</v>
      </c>
      <c r="C43" s="52">
        <f t="shared" si="5"/>
        <v>3654.4</v>
      </c>
      <c r="D43" s="52">
        <f t="shared" si="6"/>
        <v>40128</v>
      </c>
      <c r="E43" s="52">
        <f t="shared" si="7"/>
        <v>3724.7999999999997</v>
      </c>
      <c r="F43" s="55">
        <f t="shared" si="8"/>
        <v>43852.800000000003</v>
      </c>
    </row>
    <row r="44" spans="1:6" x14ac:dyDescent="0.2">
      <c r="A44" t="s">
        <v>188</v>
      </c>
      <c r="B44">
        <v>4</v>
      </c>
      <c r="C44" s="52">
        <f t="shared" si="5"/>
        <v>228.4</v>
      </c>
      <c r="D44" s="52">
        <f t="shared" si="6"/>
        <v>2508</v>
      </c>
      <c r="E44" s="52">
        <f t="shared" si="7"/>
        <v>232.79999999999998</v>
      </c>
      <c r="F44" s="55">
        <f t="shared" si="8"/>
        <v>2740.8</v>
      </c>
    </row>
    <row r="45" spans="1:6" x14ac:dyDescent="0.2">
      <c r="A45" t="s">
        <v>187</v>
      </c>
      <c r="B45">
        <v>28</v>
      </c>
      <c r="C45" s="52">
        <f t="shared" si="5"/>
        <v>1598.8</v>
      </c>
      <c r="D45" s="52">
        <f t="shared" si="6"/>
        <v>17556</v>
      </c>
      <c r="E45" s="52">
        <f t="shared" si="7"/>
        <v>1629.6</v>
      </c>
      <c r="F45" s="55">
        <f t="shared" si="8"/>
        <v>19185.599999999999</v>
      </c>
    </row>
    <row r="46" spans="1:6" x14ac:dyDescent="0.2">
      <c r="A46" t="s">
        <v>186</v>
      </c>
      <c r="B46">
        <v>9</v>
      </c>
      <c r="C46" s="52">
        <f t="shared" si="5"/>
        <v>513.9</v>
      </c>
      <c r="D46" s="52">
        <f t="shared" si="6"/>
        <v>5643</v>
      </c>
      <c r="E46" s="52">
        <f t="shared" si="7"/>
        <v>523.79999999999995</v>
      </c>
      <c r="F46" s="55">
        <f t="shared" si="8"/>
        <v>6166.7999999999993</v>
      </c>
    </row>
    <row r="47" spans="1:6" x14ac:dyDescent="0.2">
      <c r="A47" t="s">
        <v>185</v>
      </c>
      <c r="B47">
        <v>140</v>
      </c>
      <c r="C47" s="52">
        <f t="shared" si="5"/>
        <v>7994</v>
      </c>
      <c r="D47" s="52">
        <f t="shared" si="6"/>
        <v>87780</v>
      </c>
      <c r="E47" s="52">
        <f t="shared" si="7"/>
        <v>8148</v>
      </c>
      <c r="F47" s="55">
        <f t="shared" si="8"/>
        <v>95928</v>
      </c>
    </row>
    <row r="48" spans="1:6" x14ac:dyDescent="0.2">
      <c r="A48" t="s">
        <v>184</v>
      </c>
      <c r="B48">
        <v>55</v>
      </c>
      <c r="C48" s="52">
        <f t="shared" si="5"/>
        <v>3140.5</v>
      </c>
      <c r="D48" s="52">
        <f t="shared" si="6"/>
        <v>34485</v>
      </c>
      <c r="E48" s="52">
        <f t="shared" si="7"/>
        <v>3201</v>
      </c>
      <c r="F48" s="55">
        <f t="shared" si="8"/>
        <v>37686</v>
      </c>
    </row>
    <row r="49" spans="1:6" x14ac:dyDescent="0.2">
      <c r="A49" t="s">
        <v>183</v>
      </c>
      <c r="B49">
        <v>72</v>
      </c>
      <c r="C49" s="52">
        <f t="shared" si="5"/>
        <v>4111.2</v>
      </c>
      <c r="D49" s="52">
        <f t="shared" si="6"/>
        <v>45144</v>
      </c>
      <c r="E49" s="52">
        <f t="shared" si="7"/>
        <v>4190.3999999999996</v>
      </c>
      <c r="F49" s="55">
        <f t="shared" si="8"/>
        <v>49334.399999999994</v>
      </c>
    </row>
    <row r="50" spans="1:6" x14ac:dyDescent="0.2">
      <c r="A50" t="s">
        <v>182</v>
      </c>
      <c r="B50">
        <v>45</v>
      </c>
      <c r="C50" s="52">
        <f t="shared" si="5"/>
        <v>2569.5</v>
      </c>
      <c r="D50" s="52">
        <f t="shared" si="6"/>
        <v>28215</v>
      </c>
      <c r="E50" s="52">
        <f t="shared" si="7"/>
        <v>2618.9999999999995</v>
      </c>
      <c r="F50" s="55">
        <f t="shared" si="8"/>
        <v>30834</v>
      </c>
    </row>
    <row r="51" spans="1:6" x14ac:dyDescent="0.2">
      <c r="A51" t="s">
        <v>181</v>
      </c>
      <c r="B51">
        <v>28</v>
      </c>
      <c r="C51" s="52">
        <f t="shared" si="5"/>
        <v>1598.8</v>
      </c>
      <c r="D51" s="52">
        <f t="shared" si="6"/>
        <v>17556</v>
      </c>
      <c r="E51" s="52">
        <f t="shared" si="7"/>
        <v>1629.6</v>
      </c>
      <c r="F51" s="55">
        <f t="shared" si="8"/>
        <v>19185.599999999999</v>
      </c>
    </row>
    <row r="52" spans="1:6" x14ac:dyDescent="0.2">
      <c r="A52" t="s">
        <v>180</v>
      </c>
      <c r="B52">
        <v>66</v>
      </c>
      <c r="C52" s="52">
        <f t="shared" si="5"/>
        <v>3768.6</v>
      </c>
      <c r="D52" s="52">
        <f t="shared" si="6"/>
        <v>41382</v>
      </c>
      <c r="E52" s="52">
        <f t="shared" si="7"/>
        <v>3841.2</v>
      </c>
      <c r="F52" s="55">
        <f t="shared" si="8"/>
        <v>45223.199999999997</v>
      </c>
    </row>
    <row r="53" spans="1:6" x14ac:dyDescent="0.2">
      <c r="A53" t="s">
        <v>179</v>
      </c>
      <c r="B53">
        <v>15</v>
      </c>
      <c r="C53" s="52">
        <f t="shared" si="5"/>
        <v>856.5</v>
      </c>
      <c r="D53" s="52">
        <f t="shared" si="6"/>
        <v>9405</v>
      </c>
      <c r="E53" s="52">
        <f t="shared" si="7"/>
        <v>873</v>
      </c>
      <c r="F53" s="55">
        <f t="shared" si="8"/>
        <v>10278</v>
      </c>
    </row>
    <row r="54" spans="1:6" x14ac:dyDescent="0.2">
      <c r="A54" t="s">
        <v>178</v>
      </c>
      <c r="B54">
        <v>59</v>
      </c>
      <c r="C54" s="52">
        <f t="shared" si="5"/>
        <v>3368.9</v>
      </c>
      <c r="D54" s="52">
        <f t="shared" si="6"/>
        <v>36993</v>
      </c>
      <c r="E54" s="52">
        <f t="shared" si="7"/>
        <v>3433.7999999999997</v>
      </c>
      <c r="F54" s="55">
        <f t="shared" si="8"/>
        <v>40426.800000000003</v>
      </c>
    </row>
    <row r="55" spans="1:6" x14ac:dyDescent="0.2">
      <c r="A55" t="s">
        <v>177</v>
      </c>
      <c r="B55">
        <v>86</v>
      </c>
      <c r="C55" s="52">
        <f t="shared" si="5"/>
        <v>4910.6000000000004</v>
      </c>
      <c r="D55" s="52">
        <f t="shared" si="6"/>
        <v>53922</v>
      </c>
      <c r="E55" s="52">
        <f t="shared" si="7"/>
        <v>5005.2</v>
      </c>
      <c r="F55" s="55">
        <f t="shared" si="8"/>
        <v>58927.200000000004</v>
      </c>
    </row>
    <row r="56" spans="1:6" x14ac:dyDescent="0.2">
      <c r="A56" t="s">
        <v>176</v>
      </c>
      <c r="B56">
        <v>65</v>
      </c>
      <c r="C56" s="52">
        <f t="shared" si="5"/>
        <v>3711.5</v>
      </c>
      <c r="D56" s="52">
        <f t="shared" si="6"/>
        <v>40755</v>
      </c>
      <c r="E56" s="52">
        <f t="shared" si="7"/>
        <v>3783</v>
      </c>
      <c r="F56" s="55">
        <f t="shared" si="8"/>
        <v>44538</v>
      </c>
    </row>
    <row r="57" spans="1:6" x14ac:dyDescent="0.2">
      <c r="A57" t="s">
        <v>175</v>
      </c>
      <c r="B57">
        <v>43</v>
      </c>
      <c r="C57" s="52">
        <f t="shared" si="5"/>
        <v>2455.3000000000002</v>
      </c>
      <c r="D57" s="52">
        <f t="shared" si="6"/>
        <v>26961</v>
      </c>
      <c r="E57" s="52">
        <f t="shared" si="7"/>
        <v>2502.6</v>
      </c>
      <c r="F57" s="55">
        <f t="shared" si="8"/>
        <v>29463.600000000002</v>
      </c>
    </row>
    <row r="58" spans="1:6" x14ac:dyDescent="0.2">
      <c r="A58" t="s">
        <v>174</v>
      </c>
      <c r="B58">
        <v>204</v>
      </c>
      <c r="C58" s="52">
        <f t="shared" si="5"/>
        <v>11648.4</v>
      </c>
      <c r="D58" s="52">
        <f t="shared" si="6"/>
        <v>127908</v>
      </c>
      <c r="E58" s="52">
        <f t="shared" si="7"/>
        <v>11872.8</v>
      </c>
      <c r="F58" s="55">
        <f t="shared" si="8"/>
        <v>139780.79999999999</v>
      </c>
    </row>
    <row r="59" spans="1:6" x14ac:dyDescent="0.2">
      <c r="A59" t="s">
        <v>173</v>
      </c>
      <c r="B59">
        <v>42</v>
      </c>
      <c r="C59" s="52">
        <f t="shared" si="5"/>
        <v>2398.2000000000003</v>
      </c>
      <c r="D59" s="52">
        <f t="shared" si="6"/>
        <v>26334</v>
      </c>
      <c r="E59" s="52">
        <f t="shared" si="7"/>
        <v>2444.3999999999996</v>
      </c>
      <c r="F59" s="55">
        <f t="shared" si="8"/>
        <v>28778.400000000001</v>
      </c>
    </row>
    <row r="60" spans="1:6" x14ac:dyDescent="0.2">
      <c r="A60" t="s">
        <v>172</v>
      </c>
      <c r="B60">
        <v>87</v>
      </c>
      <c r="C60" s="52">
        <f t="shared" si="5"/>
        <v>4967.7</v>
      </c>
      <c r="D60" s="52">
        <f t="shared" si="6"/>
        <v>54549</v>
      </c>
      <c r="E60" s="52">
        <f t="shared" si="7"/>
        <v>5063.3999999999996</v>
      </c>
      <c r="F60" s="55">
        <f t="shared" si="8"/>
        <v>59612.399999999994</v>
      </c>
    </row>
    <row r="61" spans="1:6" x14ac:dyDescent="0.2">
      <c r="A61" t="s">
        <v>171</v>
      </c>
      <c r="B61">
        <v>102</v>
      </c>
      <c r="C61" s="52">
        <f t="shared" si="5"/>
        <v>5824.2</v>
      </c>
      <c r="D61" s="52">
        <f t="shared" si="6"/>
        <v>63954</v>
      </c>
      <c r="E61" s="52">
        <f t="shared" si="7"/>
        <v>5936.4</v>
      </c>
      <c r="F61" s="55">
        <f t="shared" si="8"/>
        <v>69890.399999999994</v>
      </c>
    </row>
    <row r="62" spans="1:6" x14ac:dyDescent="0.2">
      <c r="A62" t="s">
        <v>170</v>
      </c>
      <c r="B62">
        <v>3</v>
      </c>
      <c r="C62" s="52">
        <f t="shared" si="5"/>
        <v>171.3</v>
      </c>
      <c r="D62" s="52">
        <f t="shared" si="6"/>
        <v>1881</v>
      </c>
      <c r="E62" s="52">
        <f t="shared" si="7"/>
        <v>174.6</v>
      </c>
      <c r="F62" s="55">
        <f t="shared" si="8"/>
        <v>2055.6000000000004</v>
      </c>
    </row>
    <row r="63" spans="1:6" x14ac:dyDescent="0.2">
      <c r="A63" t="s">
        <v>169</v>
      </c>
      <c r="B63">
        <v>3</v>
      </c>
      <c r="C63" s="52">
        <f t="shared" si="5"/>
        <v>171.3</v>
      </c>
      <c r="D63" s="52">
        <f t="shared" si="6"/>
        <v>1881</v>
      </c>
      <c r="E63" s="52">
        <f t="shared" si="7"/>
        <v>174.6</v>
      </c>
      <c r="F63" s="55">
        <f t="shared" si="8"/>
        <v>2055.6000000000004</v>
      </c>
    </row>
    <row r="64" spans="1:6" x14ac:dyDescent="0.2">
      <c r="A64" t="s">
        <v>168</v>
      </c>
      <c r="B64">
        <v>3</v>
      </c>
      <c r="C64" s="52">
        <f t="shared" si="5"/>
        <v>171.3</v>
      </c>
      <c r="D64" s="52">
        <f t="shared" si="6"/>
        <v>1881</v>
      </c>
      <c r="E64" s="52">
        <f t="shared" si="7"/>
        <v>174.6</v>
      </c>
      <c r="F64" s="55">
        <f t="shared" si="8"/>
        <v>2055.6000000000004</v>
      </c>
    </row>
    <row r="65" spans="1:6" x14ac:dyDescent="0.2">
      <c r="A65" t="s">
        <v>167</v>
      </c>
      <c r="B65">
        <v>1</v>
      </c>
      <c r="C65" s="52">
        <f t="shared" si="5"/>
        <v>57.1</v>
      </c>
      <c r="D65" s="52">
        <f t="shared" si="6"/>
        <v>627</v>
      </c>
      <c r="E65" s="52">
        <f t="shared" si="7"/>
        <v>58.199999999999996</v>
      </c>
      <c r="F65" s="55">
        <f t="shared" si="8"/>
        <v>685.2</v>
      </c>
    </row>
    <row r="66" spans="1:6" x14ac:dyDescent="0.2">
      <c r="A66" s="1" t="s">
        <v>166</v>
      </c>
      <c r="B66" s="1">
        <f>SUM(B29:B65)</f>
        <v>2089</v>
      </c>
      <c r="C66" s="53">
        <f>SUM(C29:C65)</f>
        <v>119281.90000000001</v>
      </c>
      <c r="D66" s="53">
        <f>SUM(D29:D65)</f>
        <v>1309803</v>
      </c>
      <c r="E66" s="53">
        <f>SUM(E29:E65)</f>
        <v>121579.8</v>
      </c>
      <c r="F66" s="57">
        <f>SUM(F29:F65)</f>
        <v>1431382.8000000003</v>
      </c>
    </row>
    <row r="67" spans="1:6" x14ac:dyDescent="0.2">
      <c r="A67" s="1"/>
      <c r="B67" s="1"/>
      <c r="C67" s="53"/>
      <c r="D67" s="53"/>
      <c r="E67" s="53"/>
      <c r="F67" s="57"/>
    </row>
    <row r="68" spans="1:6" x14ac:dyDescent="0.2">
      <c r="A68" s="1" t="s">
        <v>165</v>
      </c>
      <c r="B68" s="1">
        <f>SUM(B24+B66)</f>
        <v>2634</v>
      </c>
      <c r="C68" s="53">
        <f>SUM(C24+C66)</f>
        <v>136095.15000000002</v>
      </c>
      <c r="D68" s="53">
        <f>SUM(D24+D66)</f>
        <v>1479843</v>
      </c>
      <c r="E68" s="53">
        <f>SUM(E24+E66)</f>
        <v>153298.79999999999</v>
      </c>
      <c r="F68" s="53">
        <f>SUM(F24+F66)</f>
        <v>1633141.8000000003</v>
      </c>
    </row>
    <row r="69" spans="1:6" x14ac:dyDescent="0.2">
      <c r="A69" s="1"/>
      <c r="B69" s="1"/>
      <c r="C69" s="53"/>
      <c r="D69" s="53"/>
      <c r="E69" s="53"/>
      <c r="F69" s="1"/>
    </row>
    <row r="70" spans="1:6" x14ac:dyDescent="0.2">
      <c r="A70" s="1" t="s">
        <v>164</v>
      </c>
      <c r="B70" s="1"/>
      <c r="C70" s="53"/>
      <c r="D70" s="53"/>
      <c r="E70" s="53"/>
      <c r="F70" s="1"/>
    </row>
    <row r="71" spans="1:6" x14ac:dyDescent="0.2">
      <c r="A71" s="30" t="s">
        <v>163</v>
      </c>
      <c r="B71" s="1"/>
      <c r="C71" s="53"/>
      <c r="D71" s="53"/>
      <c r="E71" s="53"/>
      <c r="F71" s="53">
        <f>+'income &amp; expenses'!P10</f>
        <v>12000</v>
      </c>
    </row>
    <row r="72" spans="1:6" x14ac:dyDescent="0.2">
      <c r="A72" t="s">
        <v>162</v>
      </c>
      <c r="B72">
        <v>1</v>
      </c>
      <c r="C72" s="53"/>
      <c r="D72" s="52"/>
      <c r="E72" s="52"/>
      <c r="F72" s="53">
        <f>+'income &amp; expenses'!P13</f>
        <v>23771.183158</v>
      </c>
    </row>
    <row r="73" spans="1:6" x14ac:dyDescent="0.2">
      <c r="A73" s="30" t="s">
        <v>161</v>
      </c>
      <c r="B73" s="30">
        <v>1</v>
      </c>
      <c r="C73" s="53"/>
      <c r="D73" s="53"/>
      <c r="E73" s="53"/>
      <c r="F73" s="53">
        <f>+'income &amp; expenses'!P12</f>
        <v>84853</v>
      </c>
    </row>
    <row r="74" spans="1:6" x14ac:dyDescent="0.2">
      <c r="A74" s="1" t="s">
        <v>160</v>
      </c>
      <c r="B74" s="1"/>
      <c r="C74" s="53"/>
      <c r="D74" s="53"/>
      <c r="E74" s="53"/>
      <c r="F74" s="57">
        <f>SUM(F68:F73)-E68</f>
        <v>1600467.1831580002</v>
      </c>
    </row>
    <row r="75" spans="1:6" x14ac:dyDescent="0.2">
      <c r="A75" s="56" t="s">
        <v>159</v>
      </c>
      <c r="C75" s="52"/>
      <c r="D75" s="52"/>
      <c r="E75" s="52"/>
      <c r="F75" s="52">
        <f>+'income &amp; expenses'!P62</f>
        <v>1637696.6855000001</v>
      </c>
    </row>
    <row r="76" spans="1:6" x14ac:dyDescent="0.2">
      <c r="A76" s="30" t="s">
        <v>158</v>
      </c>
      <c r="C76" s="52"/>
      <c r="D76" s="52"/>
      <c r="E76" s="52"/>
      <c r="F76" s="55">
        <f>SUM(F74-F75)</f>
        <v>-37229.502341999905</v>
      </c>
    </row>
  </sheetData>
  <sheetProtection algorithmName="SHA-512" hashValue="i6FfENla2ZtD4+aT+A/PWhUwz39l3Pmz+41FEofjhslP4meCpk2s7WmjXITmWAe/A3K3CqfmbxmKblIht49ECA==" saltValue="vnNFHAVFMXkVe8fAj2StKg==" spinCount="100000" sheet="1" objects="1" scenarios="1"/>
  <pageMargins left="0.7" right="0.7" top="0.75" bottom="0.75" header="0.3" footer="0.3"/>
  <pageSetup scale="58" orientation="portrait" r:id="rId1"/>
  <headerFooter>
    <oddHeader>&amp;C&amp;A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6"/>
  <sheetViews>
    <sheetView topLeftCell="A11" workbookViewId="0">
      <selection activeCell="F74" sqref="F74"/>
    </sheetView>
  </sheetViews>
  <sheetFormatPr defaultRowHeight="12.75" x14ac:dyDescent="0.2"/>
  <cols>
    <col min="1" max="1" width="24.85546875" customWidth="1"/>
    <col min="3" max="3" width="12.28515625" bestFit="1" customWidth="1"/>
    <col min="4" max="4" width="14.42578125" bestFit="1" customWidth="1"/>
    <col min="5" max="5" width="13.85546875" bestFit="1" customWidth="1"/>
    <col min="6" max="6" width="16.7109375" bestFit="1" customWidth="1"/>
    <col min="12" max="12" width="9.140625" customWidth="1"/>
    <col min="13" max="13" width="12" customWidth="1"/>
  </cols>
  <sheetData>
    <row r="1" spans="1:13" x14ac:dyDescent="0.2">
      <c r="C1" s="52"/>
      <c r="D1" s="52"/>
      <c r="E1" s="52"/>
    </row>
    <row r="2" spans="1:13" x14ac:dyDescent="0.2">
      <c r="A2" s="1"/>
      <c r="B2" s="1"/>
      <c r="C2" s="52">
        <f>ROUND((+' Income 2019'!C2)*(1+' Income 2020'!I2),2)</f>
        <v>32.86</v>
      </c>
      <c r="D2" s="52">
        <f>+C2-E2</f>
        <v>27.66</v>
      </c>
      <c r="E2" s="52">
        <v>5.2</v>
      </c>
      <c r="F2" s="111" t="s">
        <v>265</v>
      </c>
      <c r="I2" s="112">
        <v>6.5000000000000002E-2</v>
      </c>
      <c r="J2" s="30" t="s">
        <v>266</v>
      </c>
    </row>
    <row r="3" spans="1:13" x14ac:dyDescent="0.2">
      <c r="A3" s="2" t="s">
        <v>236</v>
      </c>
      <c r="B3" s="2" t="s">
        <v>213</v>
      </c>
      <c r="C3" s="58" t="s">
        <v>212</v>
      </c>
      <c r="D3" s="58" t="s">
        <v>211</v>
      </c>
      <c r="E3" s="58" t="s">
        <v>210</v>
      </c>
      <c r="F3" s="58" t="s">
        <v>209</v>
      </c>
      <c r="M3" s="124" t="s">
        <v>280</v>
      </c>
    </row>
    <row r="4" spans="1:13" x14ac:dyDescent="0.2">
      <c r="A4" s="2" t="s">
        <v>208</v>
      </c>
      <c r="B4" s="2" t="s">
        <v>207</v>
      </c>
      <c r="C4" s="58" t="s">
        <v>206</v>
      </c>
      <c r="D4" s="58" t="s">
        <v>235</v>
      </c>
      <c r="E4" s="58" t="s">
        <v>204</v>
      </c>
      <c r="F4" s="2" t="s">
        <v>203</v>
      </c>
    </row>
    <row r="5" spans="1:13" x14ac:dyDescent="0.2">
      <c r="A5" t="s">
        <v>234</v>
      </c>
      <c r="C5" s="52"/>
      <c r="D5" s="52"/>
      <c r="E5" s="52"/>
      <c r="F5" s="55"/>
    </row>
    <row r="6" spans="1:13" x14ac:dyDescent="0.2">
      <c r="A6" t="s">
        <v>233</v>
      </c>
      <c r="C6" s="52"/>
      <c r="D6" s="52"/>
      <c r="E6" s="52"/>
      <c r="F6" s="55"/>
    </row>
    <row r="7" spans="1:13" s="120" customFormat="1" x14ac:dyDescent="0.2">
      <c r="A7" s="120" t="s">
        <v>232</v>
      </c>
      <c r="B7" s="120">
        <v>0</v>
      </c>
      <c r="C7" s="121">
        <f>SUM($C$2*B7)</f>
        <v>0</v>
      </c>
      <c r="D7" s="121">
        <f>SUM($D$2*B7*12)</f>
        <v>0</v>
      </c>
      <c r="E7" s="121">
        <f>SUM($E$2*12*B7)</f>
        <v>0</v>
      </c>
      <c r="F7" s="122">
        <f>SUM(C7*12)</f>
        <v>0</v>
      </c>
      <c r="G7" s="120">
        <v>72</v>
      </c>
      <c r="I7" s="123" t="s">
        <v>276</v>
      </c>
      <c r="M7" s="120">
        <f>+F7</f>
        <v>0</v>
      </c>
    </row>
    <row r="8" spans="1:13" x14ac:dyDescent="0.2">
      <c r="A8" t="s">
        <v>231</v>
      </c>
      <c r="C8" s="52"/>
      <c r="D8" s="52"/>
      <c r="E8" s="52"/>
      <c r="F8" s="55"/>
    </row>
    <row r="9" spans="1:13" x14ac:dyDescent="0.2">
      <c r="A9" t="s">
        <v>230</v>
      </c>
      <c r="B9">
        <v>104</v>
      </c>
      <c r="C9" s="52">
        <f>SUM($C$2*B9)</f>
        <v>3417.44</v>
      </c>
      <c r="D9" s="52">
        <f>SUM($D$2*B9*12)</f>
        <v>34519.68</v>
      </c>
      <c r="E9" s="52">
        <f>SUM($E$2*12*B9)</f>
        <v>6489.6</v>
      </c>
      <c r="F9" s="55">
        <f>SUM(C9*12)</f>
        <v>41009.279999999999</v>
      </c>
      <c r="H9" s="124" t="s">
        <v>277</v>
      </c>
    </row>
    <row r="10" spans="1:13" s="120" customFormat="1" x14ac:dyDescent="0.2">
      <c r="A10" s="120" t="s">
        <v>229</v>
      </c>
      <c r="B10" s="120">
        <v>0</v>
      </c>
      <c r="C10" s="121">
        <f>SUM($C$2*B10)</f>
        <v>0</v>
      </c>
      <c r="D10" s="121">
        <f>SUM($D$2*B10*12)</f>
        <v>0</v>
      </c>
      <c r="E10" s="121">
        <f>SUM($E$2*12*B10)</f>
        <v>0</v>
      </c>
      <c r="F10" s="122">
        <f>SUM(C10*12)</f>
        <v>0</v>
      </c>
      <c r="G10" s="120">
        <v>80</v>
      </c>
      <c r="I10" s="123" t="s">
        <v>276</v>
      </c>
    </row>
    <row r="11" spans="1:13" x14ac:dyDescent="0.2">
      <c r="A11" t="s">
        <v>228</v>
      </c>
      <c r="C11" s="52"/>
      <c r="D11" s="52"/>
      <c r="E11" s="52"/>
      <c r="F11" s="55"/>
    </row>
    <row r="12" spans="1:13" s="120" customFormat="1" x14ac:dyDescent="0.2">
      <c r="A12" s="120" t="s">
        <v>227</v>
      </c>
      <c r="B12" s="120">
        <v>0</v>
      </c>
      <c r="C12" s="121">
        <f>SUM($C$2*B12)</f>
        <v>0</v>
      </c>
      <c r="D12" s="121">
        <f>SUM($D$2*B12*12)</f>
        <v>0</v>
      </c>
      <c r="E12" s="121">
        <f>SUM($E$2*12*B12)</f>
        <v>0</v>
      </c>
      <c r="F12" s="122">
        <f>SUM(C12*12)</f>
        <v>0</v>
      </c>
      <c r="G12" s="120">
        <v>124</v>
      </c>
      <c r="I12" s="123" t="s">
        <v>275</v>
      </c>
    </row>
    <row r="13" spans="1:13" x14ac:dyDescent="0.2">
      <c r="A13" t="s">
        <v>226</v>
      </c>
      <c r="C13" s="52"/>
      <c r="D13" s="52"/>
      <c r="E13" s="52"/>
      <c r="F13" s="55"/>
    </row>
    <row r="14" spans="1:13" s="120" customFormat="1" x14ac:dyDescent="0.2">
      <c r="A14" s="120" t="s">
        <v>225</v>
      </c>
      <c r="B14" s="120">
        <v>0</v>
      </c>
      <c r="C14" s="121">
        <f t="shared" ref="C14:C21" si="0">SUM($C$2*B14)</f>
        <v>0</v>
      </c>
      <c r="D14" s="121">
        <f t="shared" ref="D14:D21" si="1">SUM($D$2*B14*12)</f>
        <v>0</v>
      </c>
      <c r="E14" s="121">
        <f t="shared" ref="E14:E21" si="2">SUM($E$2*12*B14)</f>
        <v>0</v>
      </c>
      <c r="F14" s="122">
        <f t="shared" ref="F14:F21" si="3">SUM(C14*12)</f>
        <v>0</v>
      </c>
      <c r="G14" s="120">
        <v>132</v>
      </c>
      <c r="I14" s="123" t="s">
        <v>282</v>
      </c>
    </row>
    <row r="15" spans="1:13" x14ac:dyDescent="0.2">
      <c r="A15" t="s">
        <v>224</v>
      </c>
      <c r="B15">
        <v>28</v>
      </c>
      <c r="C15" s="52">
        <f t="shared" si="0"/>
        <v>920.07999999999993</v>
      </c>
      <c r="D15" s="52">
        <f t="shared" si="1"/>
        <v>9293.76</v>
      </c>
      <c r="E15" s="52">
        <f t="shared" si="2"/>
        <v>1747.2000000000003</v>
      </c>
      <c r="F15" s="55">
        <f t="shared" si="3"/>
        <v>11040.96</v>
      </c>
      <c r="H15" s="124" t="s">
        <v>277</v>
      </c>
      <c r="M15" s="55"/>
    </row>
    <row r="16" spans="1:13" s="120" customFormat="1" x14ac:dyDescent="0.2">
      <c r="A16" s="120" t="s">
        <v>223</v>
      </c>
      <c r="B16" s="120">
        <v>0</v>
      </c>
      <c r="C16" s="121">
        <f t="shared" si="0"/>
        <v>0</v>
      </c>
      <c r="D16" s="121">
        <f t="shared" si="1"/>
        <v>0</v>
      </c>
      <c r="E16" s="121">
        <f t="shared" si="2"/>
        <v>0</v>
      </c>
      <c r="F16" s="122">
        <f t="shared" si="3"/>
        <v>0</v>
      </c>
      <c r="G16" s="120">
        <v>34</v>
      </c>
      <c r="I16" s="123" t="s">
        <v>276</v>
      </c>
    </row>
    <row r="17" spans="1:13" x14ac:dyDescent="0.2">
      <c r="A17" t="s">
        <v>222</v>
      </c>
      <c r="B17">
        <v>35</v>
      </c>
      <c r="C17" s="52">
        <f t="shared" si="0"/>
        <v>1150.0999999999999</v>
      </c>
      <c r="D17" s="52">
        <f t="shared" si="1"/>
        <v>11617.2</v>
      </c>
      <c r="E17" s="52">
        <f t="shared" si="2"/>
        <v>2184</v>
      </c>
      <c r="F17" s="55">
        <f t="shared" si="3"/>
        <v>13801.199999999999</v>
      </c>
      <c r="H17" s="124" t="s">
        <v>277</v>
      </c>
      <c r="M17" s="55"/>
    </row>
    <row r="18" spans="1:13" s="120" customFormat="1" x14ac:dyDescent="0.2">
      <c r="A18" s="120" t="s">
        <v>221</v>
      </c>
      <c r="B18" s="120">
        <v>0</v>
      </c>
      <c r="C18" s="121">
        <f t="shared" si="0"/>
        <v>0</v>
      </c>
      <c r="D18" s="121">
        <f t="shared" si="1"/>
        <v>0</v>
      </c>
      <c r="E18" s="121">
        <f t="shared" si="2"/>
        <v>0</v>
      </c>
      <c r="F18" s="122">
        <f t="shared" si="3"/>
        <v>0</v>
      </c>
      <c r="G18" s="120">
        <v>99</v>
      </c>
      <c r="I18" s="123" t="s">
        <v>276</v>
      </c>
    </row>
    <row r="19" spans="1:13" s="120" customFormat="1" x14ac:dyDescent="0.2">
      <c r="A19" s="120" t="s">
        <v>220</v>
      </c>
      <c r="B19" s="120">
        <v>0</v>
      </c>
      <c r="C19" s="121">
        <f t="shared" si="0"/>
        <v>0</v>
      </c>
      <c r="D19" s="121">
        <f t="shared" si="1"/>
        <v>0</v>
      </c>
      <c r="E19" s="121">
        <f t="shared" si="2"/>
        <v>0</v>
      </c>
      <c r="F19" s="122">
        <f t="shared" si="3"/>
        <v>0</v>
      </c>
      <c r="G19" s="120">
        <v>77</v>
      </c>
      <c r="I19" s="123" t="s">
        <v>276</v>
      </c>
      <c r="M19" s="120">
        <f t="shared" ref="M19" si="4">+F19</f>
        <v>0</v>
      </c>
    </row>
    <row r="20" spans="1:13" s="120" customFormat="1" ht="12" customHeight="1" x14ac:dyDescent="0.2">
      <c r="A20" s="120" t="s">
        <v>219</v>
      </c>
      <c r="B20" s="120">
        <v>0</v>
      </c>
      <c r="C20" s="121">
        <f t="shared" si="0"/>
        <v>0</v>
      </c>
      <c r="D20" s="121">
        <f t="shared" si="1"/>
        <v>0</v>
      </c>
      <c r="E20" s="121">
        <f t="shared" si="2"/>
        <v>0</v>
      </c>
      <c r="F20" s="122">
        <f t="shared" si="3"/>
        <v>0</v>
      </c>
      <c r="G20" s="120">
        <v>33</v>
      </c>
      <c r="I20" s="123" t="s">
        <v>276</v>
      </c>
    </row>
    <row r="21" spans="1:13" s="120" customFormat="1" x14ac:dyDescent="0.2">
      <c r="A21" s="120" t="s">
        <v>218</v>
      </c>
      <c r="B21" s="120">
        <v>0</v>
      </c>
      <c r="C21" s="121">
        <f t="shared" si="0"/>
        <v>0</v>
      </c>
      <c r="D21" s="121">
        <f t="shared" si="1"/>
        <v>0</v>
      </c>
      <c r="E21" s="121">
        <f t="shared" si="2"/>
        <v>0</v>
      </c>
      <c r="F21" s="122">
        <f t="shared" si="3"/>
        <v>0</v>
      </c>
      <c r="G21" s="120">
        <v>67</v>
      </c>
      <c r="I21" s="123" t="s">
        <v>276</v>
      </c>
    </row>
    <row r="22" spans="1:13" x14ac:dyDescent="0.2">
      <c r="A22" t="s">
        <v>217</v>
      </c>
      <c r="C22" s="52"/>
      <c r="D22" s="52"/>
      <c r="E22" s="52"/>
      <c r="F22" s="55"/>
    </row>
    <row r="23" spans="1:13" x14ac:dyDescent="0.2">
      <c r="A23" t="s">
        <v>216</v>
      </c>
      <c r="B23">
        <v>246</v>
      </c>
      <c r="C23" s="52">
        <f>SUM($C$2*B23)</f>
        <v>8083.5599999999995</v>
      </c>
      <c r="D23" s="52">
        <f>SUM($D$2*B23*12)</f>
        <v>81652.319999999992</v>
      </c>
      <c r="E23" s="52">
        <f>SUM($E$2*12*B23)</f>
        <v>15350.400000000001</v>
      </c>
      <c r="F23" s="55">
        <f>SUM(C23*12)</f>
        <v>97002.72</v>
      </c>
      <c r="H23" s="124" t="s">
        <v>277</v>
      </c>
      <c r="I23" s="124"/>
    </row>
    <row r="24" spans="1:13" x14ac:dyDescent="0.2">
      <c r="A24" s="1" t="s">
        <v>215</v>
      </c>
      <c r="B24" s="1">
        <f>SUM(B5:B23)</f>
        <v>413</v>
      </c>
      <c r="C24" s="53">
        <f>SUM(C5:C23)</f>
        <v>13571.18</v>
      </c>
      <c r="D24" s="53">
        <f>SUM(D5:D23)</f>
        <v>137082.96</v>
      </c>
      <c r="E24" s="53">
        <f>SUM(E5:E23)</f>
        <v>25771.200000000004</v>
      </c>
      <c r="F24" s="57">
        <f>SUM(C24*12)</f>
        <v>162854.16</v>
      </c>
      <c r="G24" s="1">
        <f>SUM(G5:G23)</f>
        <v>718</v>
      </c>
      <c r="M24" s="55">
        <f>SUM(M7:M21)</f>
        <v>0</v>
      </c>
    </row>
    <row r="25" spans="1:13" x14ac:dyDescent="0.2">
      <c r="A25" s="1"/>
      <c r="B25" s="1"/>
      <c r="C25" s="53"/>
      <c r="D25" s="53"/>
      <c r="E25" s="53"/>
      <c r="F25" s="57"/>
    </row>
    <row r="26" spans="1:13" x14ac:dyDescent="0.2">
      <c r="A26" s="1"/>
      <c r="B26" s="1"/>
      <c r="C26" s="52">
        <f>ROUND((+' Income 2019'!C26)*(1+' Income 2020'!I26),2)</f>
        <v>58.81</v>
      </c>
      <c r="D26" s="54">
        <f>+C26-E26</f>
        <v>53.61</v>
      </c>
      <c r="E26" s="54">
        <f>+E2</f>
        <v>5.2</v>
      </c>
      <c r="F26" s="59"/>
      <c r="I26" s="112">
        <v>0.03</v>
      </c>
      <c r="J26" s="30" t="s">
        <v>266</v>
      </c>
    </row>
    <row r="27" spans="1:13" x14ac:dyDescent="0.2">
      <c r="A27" s="2" t="s">
        <v>214</v>
      </c>
      <c r="B27" s="2" t="s">
        <v>213</v>
      </c>
      <c r="C27" s="58" t="s">
        <v>212</v>
      </c>
      <c r="D27" s="58" t="s">
        <v>211</v>
      </c>
      <c r="E27" s="58" t="s">
        <v>210</v>
      </c>
      <c r="F27" s="58" t="s">
        <v>209</v>
      </c>
    </row>
    <row r="28" spans="1:13" x14ac:dyDescent="0.2">
      <c r="A28" s="2" t="s">
        <v>208</v>
      </c>
      <c r="B28" s="2" t="s">
        <v>207</v>
      </c>
      <c r="C28" s="58" t="s">
        <v>206</v>
      </c>
      <c r="D28" s="58" t="s">
        <v>205</v>
      </c>
      <c r="E28" s="58" t="s">
        <v>204</v>
      </c>
      <c r="F28" s="2" t="s">
        <v>203</v>
      </c>
    </row>
    <row r="29" spans="1:13" x14ac:dyDescent="0.2">
      <c r="A29" t="s">
        <v>202</v>
      </c>
      <c r="B29">
        <v>165</v>
      </c>
      <c r="C29" s="52">
        <f t="shared" ref="C29:C65" si="5">SUM($C$26*B29)</f>
        <v>9703.65</v>
      </c>
      <c r="D29" s="52">
        <f t="shared" ref="D29:D65" si="6">SUM($D$26*B29*12)</f>
        <v>106147.79999999999</v>
      </c>
      <c r="E29" s="52">
        <f t="shared" ref="E29:E65" si="7">SUM($E$26*B29*12)</f>
        <v>10296</v>
      </c>
      <c r="F29" s="55">
        <f t="shared" ref="F29:F65" si="8">SUM(C29*12)</f>
        <v>116443.79999999999</v>
      </c>
    </row>
    <row r="30" spans="1:13" x14ac:dyDescent="0.2">
      <c r="A30" t="s">
        <v>201</v>
      </c>
      <c r="B30">
        <v>3</v>
      </c>
      <c r="C30" s="52">
        <f t="shared" si="5"/>
        <v>176.43</v>
      </c>
      <c r="D30" s="52">
        <f t="shared" si="6"/>
        <v>1929.9599999999998</v>
      </c>
      <c r="E30" s="52">
        <f t="shared" si="7"/>
        <v>187.20000000000002</v>
      </c>
      <c r="F30" s="55">
        <f t="shared" si="8"/>
        <v>2117.16</v>
      </c>
    </row>
    <row r="31" spans="1:13" x14ac:dyDescent="0.2">
      <c r="A31" t="s">
        <v>250</v>
      </c>
      <c r="B31">
        <v>12</v>
      </c>
      <c r="C31" s="52">
        <f t="shared" si="5"/>
        <v>705.72</v>
      </c>
      <c r="D31" s="52">
        <f t="shared" si="6"/>
        <v>7719.8399999999992</v>
      </c>
      <c r="E31" s="52">
        <f t="shared" si="7"/>
        <v>748.80000000000007</v>
      </c>
      <c r="F31" s="55">
        <f t="shared" si="8"/>
        <v>8468.64</v>
      </c>
    </row>
    <row r="32" spans="1:13" x14ac:dyDescent="0.2">
      <c r="A32" t="s">
        <v>200</v>
      </c>
      <c r="B32">
        <v>50</v>
      </c>
      <c r="C32" s="52">
        <f t="shared" si="5"/>
        <v>2940.5</v>
      </c>
      <c r="D32" s="52">
        <f t="shared" si="6"/>
        <v>32166</v>
      </c>
      <c r="E32" s="52">
        <f t="shared" si="7"/>
        <v>3120</v>
      </c>
      <c r="F32" s="55">
        <f t="shared" si="8"/>
        <v>35286</v>
      </c>
    </row>
    <row r="33" spans="1:6" x14ac:dyDescent="0.2">
      <c r="A33" t="s">
        <v>199</v>
      </c>
      <c r="B33">
        <v>122</v>
      </c>
      <c r="C33" s="52">
        <f t="shared" si="5"/>
        <v>7174.8200000000006</v>
      </c>
      <c r="D33" s="52">
        <f t="shared" si="6"/>
        <v>78485.040000000008</v>
      </c>
      <c r="E33" s="52">
        <f t="shared" si="7"/>
        <v>7612.7999999999993</v>
      </c>
      <c r="F33" s="55">
        <f t="shared" si="8"/>
        <v>86097.840000000011</v>
      </c>
    </row>
    <row r="34" spans="1:6" x14ac:dyDescent="0.2">
      <c r="A34" t="s">
        <v>198</v>
      </c>
      <c r="B34">
        <v>157</v>
      </c>
      <c r="C34" s="52">
        <f t="shared" si="5"/>
        <v>9233.17</v>
      </c>
      <c r="D34" s="52">
        <f t="shared" si="6"/>
        <v>101001.24</v>
      </c>
      <c r="E34" s="52">
        <f t="shared" si="7"/>
        <v>9796.7999999999993</v>
      </c>
      <c r="F34" s="55">
        <f t="shared" si="8"/>
        <v>110798.04000000001</v>
      </c>
    </row>
    <row r="35" spans="1:6" x14ac:dyDescent="0.2">
      <c r="A35" t="s">
        <v>197</v>
      </c>
      <c r="B35">
        <v>49</v>
      </c>
      <c r="C35" s="52">
        <f t="shared" si="5"/>
        <v>2881.69</v>
      </c>
      <c r="D35" s="52">
        <f t="shared" si="6"/>
        <v>31522.68</v>
      </c>
      <c r="E35" s="52">
        <f t="shared" si="7"/>
        <v>3057.6000000000004</v>
      </c>
      <c r="F35" s="55">
        <f t="shared" si="8"/>
        <v>34580.28</v>
      </c>
    </row>
    <row r="36" spans="1:6" x14ac:dyDescent="0.2">
      <c r="A36" t="s">
        <v>196</v>
      </c>
      <c r="B36">
        <v>32</v>
      </c>
      <c r="C36" s="52">
        <f t="shared" si="5"/>
        <v>1881.92</v>
      </c>
      <c r="D36" s="52">
        <f t="shared" si="6"/>
        <v>20586.239999999998</v>
      </c>
      <c r="E36" s="52">
        <f t="shared" si="7"/>
        <v>1996.8000000000002</v>
      </c>
      <c r="F36" s="55">
        <f t="shared" si="8"/>
        <v>22583.040000000001</v>
      </c>
    </row>
    <row r="37" spans="1:6" x14ac:dyDescent="0.2">
      <c r="A37" t="s">
        <v>195</v>
      </c>
      <c r="B37">
        <v>24</v>
      </c>
      <c r="C37" s="52">
        <f t="shared" si="5"/>
        <v>1411.44</v>
      </c>
      <c r="D37" s="52">
        <f t="shared" si="6"/>
        <v>15439.679999999998</v>
      </c>
      <c r="E37" s="52">
        <f t="shared" si="7"/>
        <v>1497.6000000000001</v>
      </c>
      <c r="F37" s="55">
        <f t="shared" si="8"/>
        <v>16937.28</v>
      </c>
    </row>
    <row r="38" spans="1:6" x14ac:dyDescent="0.2">
      <c r="A38" t="s">
        <v>194</v>
      </c>
      <c r="B38">
        <v>34</v>
      </c>
      <c r="C38" s="52">
        <f t="shared" si="5"/>
        <v>1999.54</v>
      </c>
      <c r="D38" s="52">
        <f t="shared" si="6"/>
        <v>21872.880000000001</v>
      </c>
      <c r="E38" s="52">
        <f t="shared" si="7"/>
        <v>2121.6000000000004</v>
      </c>
      <c r="F38" s="55">
        <f t="shared" si="8"/>
        <v>23994.48</v>
      </c>
    </row>
    <row r="39" spans="1:6" x14ac:dyDescent="0.2">
      <c r="A39" t="s">
        <v>193</v>
      </c>
      <c r="B39">
        <v>22</v>
      </c>
      <c r="C39" s="52">
        <f t="shared" si="5"/>
        <v>1293.8200000000002</v>
      </c>
      <c r="D39" s="52">
        <f t="shared" si="6"/>
        <v>14153.04</v>
      </c>
      <c r="E39" s="52">
        <f t="shared" si="7"/>
        <v>1372.8000000000002</v>
      </c>
      <c r="F39" s="55">
        <f t="shared" si="8"/>
        <v>15525.840000000002</v>
      </c>
    </row>
    <row r="40" spans="1:6" x14ac:dyDescent="0.2">
      <c r="A40" t="s">
        <v>192</v>
      </c>
      <c r="B40">
        <v>42</v>
      </c>
      <c r="C40" s="52">
        <f t="shared" si="5"/>
        <v>2470.02</v>
      </c>
      <c r="D40" s="52">
        <f t="shared" si="6"/>
        <v>27019.439999999999</v>
      </c>
      <c r="E40" s="52">
        <f t="shared" si="7"/>
        <v>2620.8000000000002</v>
      </c>
      <c r="F40" s="55">
        <f t="shared" si="8"/>
        <v>29640.239999999998</v>
      </c>
    </row>
    <row r="41" spans="1:6" x14ac:dyDescent="0.2">
      <c r="A41" t="s">
        <v>191</v>
      </c>
      <c r="B41">
        <v>111</v>
      </c>
      <c r="C41" s="52">
        <f t="shared" si="5"/>
        <v>6527.91</v>
      </c>
      <c r="D41" s="52">
        <f t="shared" si="6"/>
        <v>71408.52</v>
      </c>
      <c r="E41" s="52">
        <f t="shared" si="7"/>
        <v>6926.4000000000005</v>
      </c>
      <c r="F41" s="55">
        <f t="shared" si="8"/>
        <v>78334.92</v>
      </c>
    </row>
    <row r="42" spans="1:6" x14ac:dyDescent="0.2">
      <c r="A42" t="s">
        <v>190</v>
      </c>
      <c r="B42">
        <v>42</v>
      </c>
      <c r="C42" s="52">
        <f t="shared" si="5"/>
        <v>2470.02</v>
      </c>
      <c r="D42" s="52">
        <f t="shared" si="6"/>
        <v>27019.439999999999</v>
      </c>
      <c r="E42" s="52">
        <f t="shared" si="7"/>
        <v>2620.8000000000002</v>
      </c>
      <c r="F42" s="55">
        <f t="shared" si="8"/>
        <v>29640.239999999998</v>
      </c>
    </row>
    <row r="43" spans="1:6" x14ac:dyDescent="0.2">
      <c r="A43" t="s">
        <v>189</v>
      </c>
      <c r="B43">
        <v>64</v>
      </c>
      <c r="C43" s="52">
        <f t="shared" si="5"/>
        <v>3763.84</v>
      </c>
      <c r="D43" s="52">
        <f t="shared" si="6"/>
        <v>41172.479999999996</v>
      </c>
      <c r="E43" s="52">
        <f t="shared" si="7"/>
        <v>3993.6000000000004</v>
      </c>
      <c r="F43" s="55">
        <f t="shared" si="8"/>
        <v>45166.080000000002</v>
      </c>
    </row>
    <row r="44" spans="1:6" x14ac:dyDescent="0.2">
      <c r="A44" t="s">
        <v>188</v>
      </c>
      <c r="B44">
        <v>4</v>
      </c>
      <c r="C44" s="52">
        <f t="shared" si="5"/>
        <v>235.24</v>
      </c>
      <c r="D44" s="52">
        <f t="shared" si="6"/>
        <v>2573.2799999999997</v>
      </c>
      <c r="E44" s="52">
        <f t="shared" si="7"/>
        <v>249.60000000000002</v>
      </c>
      <c r="F44" s="55">
        <f t="shared" si="8"/>
        <v>2822.88</v>
      </c>
    </row>
    <row r="45" spans="1:6" x14ac:dyDescent="0.2">
      <c r="A45" t="s">
        <v>187</v>
      </c>
      <c r="B45">
        <v>28</v>
      </c>
      <c r="C45" s="52">
        <f t="shared" si="5"/>
        <v>1646.68</v>
      </c>
      <c r="D45" s="52">
        <f t="shared" si="6"/>
        <v>18012.96</v>
      </c>
      <c r="E45" s="52">
        <f t="shared" si="7"/>
        <v>1747.1999999999998</v>
      </c>
      <c r="F45" s="55">
        <f t="shared" si="8"/>
        <v>19760.16</v>
      </c>
    </row>
    <row r="46" spans="1:6" x14ac:dyDescent="0.2">
      <c r="A46" t="s">
        <v>186</v>
      </c>
      <c r="B46">
        <v>9</v>
      </c>
      <c r="C46" s="52">
        <f t="shared" si="5"/>
        <v>529.29</v>
      </c>
      <c r="D46" s="52">
        <f t="shared" si="6"/>
        <v>5789.88</v>
      </c>
      <c r="E46" s="52">
        <f t="shared" si="7"/>
        <v>561.6</v>
      </c>
      <c r="F46" s="55">
        <f t="shared" si="8"/>
        <v>6351.48</v>
      </c>
    </row>
    <row r="47" spans="1:6" x14ac:dyDescent="0.2">
      <c r="A47" t="s">
        <v>185</v>
      </c>
      <c r="B47">
        <v>140</v>
      </c>
      <c r="C47" s="52">
        <f t="shared" si="5"/>
        <v>8233.4</v>
      </c>
      <c r="D47" s="52">
        <f t="shared" si="6"/>
        <v>90064.799999999988</v>
      </c>
      <c r="E47" s="52">
        <f t="shared" si="7"/>
        <v>8736</v>
      </c>
      <c r="F47" s="55">
        <f t="shared" si="8"/>
        <v>98800.799999999988</v>
      </c>
    </row>
    <row r="48" spans="1:6" x14ac:dyDescent="0.2">
      <c r="A48" t="s">
        <v>184</v>
      </c>
      <c r="B48">
        <v>55</v>
      </c>
      <c r="C48" s="52">
        <f t="shared" si="5"/>
        <v>3234.55</v>
      </c>
      <c r="D48" s="52">
        <f t="shared" si="6"/>
        <v>35382.600000000006</v>
      </c>
      <c r="E48" s="52">
        <f t="shared" si="7"/>
        <v>3432</v>
      </c>
      <c r="F48" s="55">
        <f t="shared" si="8"/>
        <v>38814.600000000006</v>
      </c>
    </row>
    <row r="49" spans="1:6" x14ac:dyDescent="0.2">
      <c r="A49" t="s">
        <v>183</v>
      </c>
      <c r="B49">
        <v>72</v>
      </c>
      <c r="C49" s="52">
        <f t="shared" si="5"/>
        <v>4234.32</v>
      </c>
      <c r="D49" s="52">
        <f t="shared" si="6"/>
        <v>46319.040000000001</v>
      </c>
      <c r="E49" s="52">
        <f t="shared" si="7"/>
        <v>4492.8</v>
      </c>
      <c r="F49" s="55">
        <f t="shared" si="8"/>
        <v>50811.839999999997</v>
      </c>
    </row>
    <row r="50" spans="1:6" x14ac:dyDescent="0.2">
      <c r="A50" t="s">
        <v>182</v>
      </c>
      <c r="B50">
        <v>45</v>
      </c>
      <c r="C50" s="52">
        <f t="shared" si="5"/>
        <v>2646.4500000000003</v>
      </c>
      <c r="D50" s="52">
        <f t="shared" si="6"/>
        <v>28949.399999999998</v>
      </c>
      <c r="E50" s="52">
        <f t="shared" si="7"/>
        <v>2808</v>
      </c>
      <c r="F50" s="55">
        <f t="shared" si="8"/>
        <v>31757.4</v>
      </c>
    </row>
    <row r="51" spans="1:6" x14ac:dyDescent="0.2">
      <c r="A51" t="s">
        <v>181</v>
      </c>
      <c r="B51">
        <v>28</v>
      </c>
      <c r="C51" s="52">
        <f t="shared" si="5"/>
        <v>1646.68</v>
      </c>
      <c r="D51" s="52">
        <f t="shared" si="6"/>
        <v>18012.96</v>
      </c>
      <c r="E51" s="52">
        <f t="shared" si="7"/>
        <v>1747.1999999999998</v>
      </c>
      <c r="F51" s="55">
        <f t="shared" si="8"/>
        <v>19760.16</v>
      </c>
    </row>
    <row r="52" spans="1:6" x14ac:dyDescent="0.2">
      <c r="A52" t="s">
        <v>180</v>
      </c>
      <c r="B52">
        <v>66</v>
      </c>
      <c r="C52" s="52">
        <f t="shared" si="5"/>
        <v>3881.46</v>
      </c>
      <c r="D52" s="52">
        <f t="shared" si="6"/>
        <v>42459.119999999995</v>
      </c>
      <c r="E52" s="52">
        <f t="shared" si="7"/>
        <v>4118.3999999999996</v>
      </c>
      <c r="F52" s="55">
        <f t="shared" si="8"/>
        <v>46577.520000000004</v>
      </c>
    </row>
    <row r="53" spans="1:6" x14ac:dyDescent="0.2">
      <c r="A53" t="s">
        <v>179</v>
      </c>
      <c r="B53">
        <v>15</v>
      </c>
      <c r="C53" s="52">
        <f t="shared" si="5"/>
        <v>882.15000000000009</v>
      </c>
      <c r="D53" s="52">
        <f t="shared" si="6"/>
        <v>9649.7999999999993</v>
      </c>
      <c r="E53" s="52">
        <f t="shared" si="7"/>
        <v>936</v>
      </c>
      <c r="F53" s="55">
        <f t="shared" si="8"/>
        <v>10585.800000000001</v>
      </c>
    </row>
    <row r="54" spans="1:6" x14ac:dyDescent="0.2">
      <c r="A54" t="s">
        <v>178</v>
      </c>
      <c r="B54">
        <v>59</v>
      </c>
      <c r="C54" s="52">
        <f t="shared" si="5"/>
        <v>3469.79</v>
      </c>
      <c r="D54" s="52">
        <f t="shared" si="6"/>
        <v>37955.879999999997</v>
      </c>
      <c r="E54" s="52">
        <f t="shared" si="7"/>
        <v>3681.6000000000004</v>
      </c>
      <c r="F54" s="55">
        <f t="shared" si="8"/>
        <v>41637.479999999996</v>
      </c>
    </row>
    <row r="55" spans="1:6" x14ac:dyDescent="0.2">
      <c r="A55" t="s">
        <v>177</v>
      </c>
      <c r="B55">
        <v>86</v>
      </c>
      <c r="C55" s="52">
        <f t="shared" si="5"/>
        <v>5057.66</v>
      </c>
      <c r="D55" s="52">
        <f t="shared" si="6"/>
        <v>55325.520000000004</v>
      </c>
      <c r="E55" s="52">
        <f t="shared" si="7"/>
        <v>5366.4</v>
      </c>
      <c r="F55" s="55">
        <f t="shared" si="8"/>
        <v>60691.92</v>
      </c>
    </row>
    <row r="56" spans="1:6" x14ac:dyDescent="0.2">
      <c r="A56" t="s">
        <v>176</v>
      </c>
      <c r="B56">
        <v>65</v>
      </c>
      <c r="C56" s="52">
        <f t="shared" si="5"/>
        <v>3822.65</v>
      </c>
      <c r="D56" s="52">
        <f t="shared" si="6"/>
        <v>41815.800000000003</v>
      </c>
      <c r="E56" s="52">
        <f t="shared" si="7"/>
        <v>4056</v>
      </c>
      <c r="F56" s="55">
        <f t="shared" si="8"/>
        <v>45871.8</v>
      </c>
    </row>
    <row r="57" spans="1:6" x14ac:dyDescent="0.2">
      <c r="A57" t="s">
        <v>175</v>
      </c>
      <c r="B57">
        <v>43</v>
      </c>
      <c r="C57" s="52">
        <f t="shared" si="5"/>
        <v>2528.83</v>
      </c>
      <c r="D57" s="52">
        <f t="shared" si="6"/>
        <v>27662.760000000002</v>
      </c>
      <c r="E57" s="52">
        <f t="shared" si="7"/>
        <v>2683.2</v>
      </c>
      <c r="F57" s="55">
        <f t="shared" si="8"/>
        <v>30345.96</v>
      </c>
    </row>
    <row r="58" spans="1:6" x14ac:dyDescent="0.2">
      <c r="A58" t="s">
        <v>174</v>
      </c>
      <c r="B58">
        <v>204</v>
      </c>
      <c r="C58" s="52">
        <f t="shared" si="5"/>
        <v>11997.24</v>
      </c>
      <c r="D58" s="52">
        <f t="shared" si="6"/>
        <v>131237.28</v>
      </c>
      <c r="E58" s="52">
        <f t="shared" si="7"/>
        <v>12729.599999999999</v>
      </c>
      <c r="F58" s="55">
        <f t="shared" si="8"/>
        <v>143966.88</v>
      </c>
    </row>
    <row r="59" spans="1:6" x14ac:dyDescent="0.2">
      <c r="A59" t="s">
        <v>173</v>
      </c>
      <c r="B59">
        <v>42</v>
      </c>
      <c r="C59" s="52">
        <f t="shared" si="5"/>
        <v>2470.02</v>
      </c>
      <c r="D59" s="52">
        <f t="shared" si="6"/>
        <v>27019.439999999999</v>
      </c>
      <c r="E59" s="52">
        <f t="shared" si="7"/>
        <v>2620.8000000000002</v>
      </c>
      <c r="F59" s="55">
        <f t="shared" si="8"/>
        <v>29640.239999999998</v>
      </c>
    </row>
    <row r="60" spans="1:6" x14ac:dyDescent="0.2">
      <c r="A60" t="s">
        <v>172</v>
      </c>
      <c r="B60">
        <v>87</v>
      </c>
      <c r="C60" s="52">
        <f t="shared" si="5"/>
        <v>5116.47</v>
      </c>
      <c r="D60" s="52">
        <f t="shared" si="6"/>
        <v>55968.84</v>
      </c>
      <c r="E60" s="52">
        <f t="shared" si="7"/>
        <v>5428.8</v>
      </c>
      <c r="F60" s="55">
        <f t="shared" si="8"/>
        <v>61397.64</v>
      </c>
    </row>
    <row r="61" spans="1:6" x14ac:dyDescent="0.2">
      <c r="A61" t="s">
        <v>171</v>
      </c>
      <c r="B61">
        <v>102</v>
      </c>
      <c r="C61" s="52">
        <f t="shared" si="5"/>
        <v>5998.62</v>
      </c>
      <c r="D61" s="52">
        <f t="shared" si="6"/>
        <v>65618.64</v>
      </c>
      <c r="E61" s="52">
        <f t="shared" si="7"/>
        <v>6364.7999999999993</v>
      </c>
      <c r="F61" s="55">
        <f t="shared" si="8"/>
        <v>71983.44</v>
      </c>
    </row>
    <row r="62" spans="1:6" x14ac:dyDescent="0.2">
      <c r="A62" t="s">
        <v>170</v>
      </c>
      <c r="B62">
        <v>3</v>
      </c>
      <c r="C62" s="52">
        <f t="shared" si="5"/>
        <v>176.43</v>
      </c>
      <c r="D62" s="52">
        <f t="shared" si="6"/>
        <v>1929.9599999999998</v>
      </c>
      <c r="E62" s="52">
        <f t="shared" si="7"/>
        <v>187.20000000000002</v>
      </c>
      <c r="F62" s="55">
        <f t="shared" si="8"/>
        <v>2117.16</v>
      </c>
    </row>
    <row r="63" spans="1:6" x14ac:dyDescent="0.2">
      <c r="A63" t="s">
        <v>169</v>
      </c>
      <c r="B63">
        <v>3</v>
      </c>
      <c r="C63" s="52">
        <f t="shared" si="5"/>
        <v>176.43</v>
      </c>
      <c r="D63" s="52">
        <f t="shared" si="6"/>
        <v>1929.9599999999998</v>
      </c>
      <c r="E63" s="52">
        <f t="shared" si="7"/>
        <v>187.20000000000002</v>
      </c>
      <c r="F63" s="55">
        <f t="shared" si="8"/>
        <v>2117.16</v>
      </c>
    </row>
    <row r="64" spans="1:6" x14ac:dyDescent="0.2">
      <c r="A64" t="s">
        <v>168</v>
      </c>
      <c r="B64">
        <v>3</v>
      </c>
      <c r="C64" s="52">
        <f t="shared" si="5"/>
        <v>176.43</v>
      </c>
      <c r="D64" s="52">
        <f t="shared" si="6"/>
        <v>1929.9599999999998</v>
      </c>
      <c r="E64" s="52">
        <f t="shared" si="7"/>
        <v>187.20000000000002</v>
      </c>
      <c r="F64" s="55">
        <f t="shared" si="8"/>
        <v>2117.16</v>
      </c>
    </row>
    <row r="65" spans="1:6" x14ac:dyDescent="0.2">
      <c r="A65" t="s">
        <v>167</v>
      </c>
      <c r="B65">
        <v>1</v>
      </c>
      <c r="C65" s="52">
        <f t="shared" si="5"/>
        <v>58.81</v>
      </c>
      <c r="D65" s="52">
        <f t="shared" si="6"/>
        <v>643.31999999999994</v>
      </c>
      <c r="E65" s="52">
        <f t="shared" si="7"/>
        <v>62.400000000000006</v>
      </c>
      <c r="F65" s="55">
        <f t="shared" si="8"/>
        <v>705.72</v>
      </c>
    </row>
    <row r="66" spans="1:6" x14ac:dyDescent="0.2">
      <c r="A66" s="1" t="s">
        <v>166</v>
      </c>
      <c r="B66" s="1">
        <f>SUM(B29:B65)</f>
        <v>2089</v>
      </c>
      <c r="C66" s="53">
        <f>SUM(C29:C65)</f>
        <v>122854.08999999997</v>
      </c>
      <c r="D66" s="53">
        <f>SUM(D29:D65)</f>
        <v>1343895.48</v>
      </c>
      <c r="E66" s="53">
        <f>SUM(E29:E65)</f>
        <v>130353.59999999998</v>
      </c>
      <c r="F66" s="57">
        <f>SUM(F29:F65)</f>
        <v>1474249.0799999996</v>
      </c>
    </row>
    <row r="67" spans="1:6" x14ac:dyDescent="0.2">
      <c r="A67" s="1"/>
      <c r="B67" s="1"/>
      <c r="C67" s="53"/>
      <c r="D67" s="53"/>
      <c r="E67" s="53"/>
      <c r="F67" s="57"/>
    </row>
    <row r="68" spans="1:6" x14ac:dyDescent="0.2">
      <c r="A68" s="1" t="s">
        <v>165</v>
      </c>
      <c r="B68" s="1">
        <f>SUM(B24+B66)</f>
        <v>2502</v>
      </c>
      <c r="C68" s="53">
        <f>SUM(C24+C66)</f>
        <v>136425.26999999996</v>
      </c>
      <c r="D68" s="53">
        <f>SUM(D24+D66)</f>
        <v>1480978.44</v>
      </c>
      <c r="E68" s="53">
        <f>SUM(E24+E66)</f>
        <v>156124.79999999999</v>
      </c>
      <c r="F68" s="53">
        <f>SUM(F24+F66)</f>
        <v>1637103.2399999995</v>
      </c>
    </row>
    <row r="69" spans="1:6" x14ac:dyDescent="0.2">
      <c r="A69" s="1"/>
      <c r="B69" s="1"/>
      <c r="C69" s="53"/>
      <c r="D69" s="53"/>
      <c r="E69" s="53"/>
      <c r="F69" s="1"/>
    </row>
    <row r="70" spans="1:6" x14ac:dyDescent="0.2">
      <c r="A70" s="1" t="s">
        <v>164</v>
      </c>
      <c r="B70" s="1"/>
      <c r="C70" s="53"/>
      <c r="D70" s="53"/>
      <c r="E70" s="53"/>
      <c r="F70" s="1"/>
    </row>
    <row r="71" spans="1:6" x14ac:dyDescent="0.2">
      <c r="A71" s="30" t="s">
        <v>163</v>
      </c>
      <c r="B71" s="1"/>
      <c r="C71" s="53"/>
      <c r="D71" s="53"/>
      <c r="E71" s="53"/>
      <c r="F71" s="53">
        <f>+'income &amp; expenses'!Q10</f>
        <v>12000</v>
      </c>
    </row>
    <row r="72" spans="1:6" x14ac:dyDescent="0.2">
      <c r="A72" t="s">
        <v>162</v>
      </c>
      <c r="B72">
        <v>1</v>
      </c>
      <c r="C72" s="53"/>
      <c r="D72" s="52"/>
      <c r="E72" s="52"/>
      <c r="F72" s="53">
        <f>+'income &amp; expenses'!Q13</f>
        <v>24484.318652739999</v>
      </c>
    </row>
    <row r="73" spans="1:6" x14ac:dyDescent="0.2">
      <c r="A73" s="30" t="s">
        <v>161</v>
      </c>
      <c r="B73" s="30">
        <v>1</v>
      </c>
      <c r="C73" s="53"/>
      <c r="D73" s="53"/>
      <c r="E73" s="53"/>
      <c r="F73" s="53">
        <f>+'income &amp; expenses'!Q12</f>
        <v>87399</v>
      </c>
    </row>
    <row r="74" spans="1:6" x14ac:dyDescent="0.2">
      <c r="A74" s="1" t="s">
        <v>160</v>
      </c>
      <c r="B74" s="1"/>
      <c r="C74" s="53"/>
      <c r="D74" s="53"/>
      <c r="E74" s="53"/>
      <c r="F74" s="57">
        <f>SUM(F68:F73)-E68</f>
        <v>1604861.7586527395</v>
      </c>
    </row>
    <row r="75" spans="1:6" x14ac:dyDescent="0.2">
      <c r="A75" s="56" t="s">
        <v>159</v>
      </c>
      <c r="C75" s="52"/>
      <c r="D75" s="52"/>
      <c r="E75" s="52"/>
      <c r="F75" s="52">
        <f>+'income &amp; expenses'!Q62</f>
        <v>1687908.3800649999</v>
      </c>
    </row>
    <row r="76" spans="1:6" x14ac:dyDescent="0.2">
      <c r="A76" s="30" t="s">
        <v>158</v>
      </c>
      <c r="C76" s="52"/>
      <c r="D76" s="52"/>
      <c r="E76" s="52"/>
      <c r="F76" s="55">
        <f>SUM(F74-F75)</f>
        <v>-83046.621412260458</v>
      </c>
    </row>
  </sheetData>
  <sheetProtection algorithmName="SHA-512" hashValue="MSOPN1oEvUTkCrnECGP4rokZpiwRNHWxLMe6ZqClLBz/WJzWlZ1bHKRxBLU6JvMGq14D8JJIvCNg3kCQMx+uCA==" saltValue="pYL1QVc150/3C8b5Wo6tFg==" spinCount="100000" sheet="1" objects="1" scenarios="1"/>
  <pageMargins left="0.7" right="0.7" top="0.75" bottom="0.75" header="0.3" footer="0.3"/>
  <pageSetup scale="58" orientation="portrait" r:id="rId1"/>
  <headerFooter>
    <oddHeader>&amp;C&amp;A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6"/>
  <sheetViews>
    <sheetView workbookViewId="0">
      <selection activeCell="E3" sqref="E3"/>
    </sheetView>
  </sheetViews>
  <sheetFormatPr defaultRowHeight="12.75" x14ac:dyDescent="0.2"/>
  <cols>
    <col min="1" max="1" width="24.85546875" customWidth="1"/>
    <col min="3" max="3" width="12.28515625" bestFit="1" customWidth="1"/>
    <col min="4" max="4" width="14.42578125" bestFit="1" customWidth="1"/>
    <col min="5" max="5" width="13.85546875" bestFit="1" customWidth="1"/>
    <col min="6" max="6" width="16.7109375" bestFit="1" customWidth="1"/>
    <col min="13" max="13" width="13.85546875" customWidth="1"/>
  </cols>
  <sheetData>
    <row r="1" spans="1:13" x14ac:dyDescent="0.2">
      <c r="C1" s="52"/>
      <c r="D1" s="52"/>
      <c r="E1" s="52"/>
    </row>
    <row r="2" spans="1:13" x14ac:dyDescent="0.2">
      <c r="A2" s="1"/>
      <c r="B2" s="1"/>
      <c r="C2" s="52">
        <f>ROUND((+' Income 2020'!C2)*(1+' Income 2021'!I2),2)</f>
        <v>35</v>
      </c>
      <c r="D2" s="52">
        <f>+C2-E2</f>
        <v>29.7</v>
      </c>
      <c r="E2" s="52">
        <v>5.3</v>
      </c>
      <c r="F2" s="111" t="s">
        <v>265</v>
      </c>
      <c r="I2" s="112">
        <v>6.5000000000000002E-2</v>
      </c>
      <c r="J2" s="30" t="s">
        <v>266</v>
      </c>
    </row>
    <row r="3" spans="1:13" x14ac:dyDescent="0.2">
      <c r="A3" s="2" t="s">
        <v>236</v>
      </c>
      <c r="B3" s="2" t="s">
        <v>213</v>
      </c>
      <c r="C3" s="58" t="s">
        <v>212</v>
      </c>
      <c r="D3" s="58" t="s">
        <v>211</v>
      </c>
      <c r="E3" s="58" t="s">
        <v>210</v>
      </c>
      <c r="F3" s="58" t="s">
        <v>209</v>
      </c>
      <c r="M3" s="124"/>
    </row>
    <row r="4" spans="1:13" x14ac:dyDescent="0.2">
      <c r="A4" s="2" t="s">
        <v>208</v>
      </c>
      <c r="B4" s="2" t="s">
        <v>207</v>
      </c>
      <c r="C4" s="58" t="s">
        <v>206</v>
      </c>
      <c r="D4" s="58" t="s">
        <v>235</v>
      </c>
      <c r="E4" s="58" t="s">
        <v>204</v>
      </c>
      <c r="F4" s="2" t="s">
        <v>203</v>
      </c>
    </row>
    <row r="5" spans="1:13" x14ac:dyDescent="0.2">
      <c r="A5" t="s">
        <v>234</v>
      </c>
      <c r="C5" s="52"/>
      <c r="D5" s="52"/>
      <c r="E5" s="52"/>
      <c r="F5" s="55"/>
    </row>
    <row r="6" spans="1:13" x14ac:dyDescent="0.2">
      <c r="A6" t="s">
        <v>233</v>
      </c>
      <c r="C6" s="52"/>
      <c r="D6" s="52"/>
      <c r="E6" s="52"/>
      <c r="F6" s="55"/>
    </row>
    <row r="7" spans="1:13" s="120" customFormat="1" x14ac:dyDescent="0.2">
      <c r="A7" s="120" t="s">
        <v>232</v>
      </c>
      <c r="B7" s="120">
        <v>0</v>
      </c>
      <c r="C7" s="121">
        <f>SUM($C$2*B7)</f>
        <v>0</v>
      </c>
      <c r="D7" s="121">
        <f>SUM($D$2*B7*12)</f>
        <v>0</v>
      </c>
      <c r="E7" s="121">
        <f>SUM($E$2*12*B7)</f>
        <v>0</v>
      </c>
      <c r="F7" s="122">
        <f>SUM(C7*12)</f>
        <v>0</v>
      </c>
      <c r="G7" s="120">
        <v>72</v>
      </c>
      <c r="I7" s="123" t="s">
        <v>276</v>
      </c>
    </row>
    <row r="8" spans="1:13" x14ac:dyDescent="0.2">
      <c r="A8" t="s">
        <v>231</v>
      </c>
      <c r="C8" s="52"/>
      <c r="D8" s="52"/>
      <c r="E8" s="52"/>
      <c r="F8" s="55"/>
    </row>
    <row r="9" spans="1:13" x14ac:dyDescent="0.2">
      <c r="A9" t="s">
        <v>230</v>
      </c>
      <c r="B9">
        <v>104</v>
      </c>
      <c r="C9" s="52">
        <f>SUM($C$2*B9)</f>
        <v>3640</v>
      </c>
      <c r="D9" s="52">
        <f>SUM($D$2*B9*12)</f>
        <v>37065.599999999999</v>
      </c>
      <c r="E9" s="52">
        <f>SUM($E$2*12*B9)</f>
        <v>6614.4</v>
      </c>
      <c r="F9" s="55">
        <f>SUM(C9*12)</f>
        <v>43680</v>
      </c>
      <c r="H9" s="124" t="s">
        <v>277</v>
      </c>
    </row>
    <row r="10" spans="1:13" s="120" customFormat="1" x14ac:dyDescent="0.2">
      <c r="A10" s="120" t="s">
        <v>229</v>
      </c>
      <c r="B10" s="120">
        <v>0</v>
      </c>
      <c r="C10" s="121">
        <f>SUM($C$2*B10)</f>
        <v>0</v>
      </c>
      <c r="D10" s="121">
        <f>SUM($D$2*B10*12)</f>
        <v>0</v>
      </c>
      <c r="E10" s="121">
        <f>SUM($E$2*12*B10)</f>
        <v>0</v>
      </c>
      <c r="F10" s="122">
        <f>SUM(C10*12)</f>
        <v>0</v>
      </c>
      <c r="G10" s="120">
        <v>80</v>
      </c>
      <c r="I10" s="123" t="s">
        <v>276</v>
      </c>
    </row>
    <row r="11" spans="1:13" x14ac:dyDescent="0.2">
      <c r="A11" t="s">
        <v>228</v>
      </c>
      <c r="C11" s="52"/>
      <c r="D11" s="52"/>
      <c r="E11" s="52"/>
      <c r="F11" s="55"/>
    </row>
    <row r="12" spans="1:13" s="120" customFormat="1" x14ac:dyDescent="0.2">
      <c r="A12" s="120" t="s">
        <v>227</v>
      </c>
      <c r="B12" s="120">
        <v>0</v>
      </c>
      <c r="C12" s="121">
        <f>SUM($C$2*B12)</f>
        <v>0</v>
      </c>
      <c r="D12" s="121">
        <f>SUM($D$2*B12*12)</f>
        <v>0</v>
      </c>
      <c r="E12" s="121">
        <f>SUM($E$2*12*B12)</f>
        <v>0</v>
      </c>
      <c r="F12" s="122">
        <f>SUM(C12*12)</f>
        <v>0</v>
      </c>
      <c r="G12" s="120">
        <v>124</v>
      </c>
      <c r="I12" s="123" t="s">
        <v>275</v>
      </c>
    </row>
    <row r="13" spans="1:13" x14ac:dyDescent="0.2">
      <c r="A13" t="s">
        <v>226</v>
      </c>
      <c r="C13" s="52"/>
      <c r="D13" s="52"/>
      <c r="E13" s="52"/>
      <c r="F13" s="55"/>
    </row>
    <row r="14" spans="1:13" s="120" customFormat="1" x14ac:dyDescent="0.2">
      <c r="A14" s="120" t="s">
        <v>225</v>
      </c>
      <c r="B14" s="120">
        <v>0</v>
      </c>
      <c r="C14" s="121">
        <f t="shared" ref="C14" si="0">SUM($C$2*B14)</f>
        <v>0</v>
      </c>
      <c r="D14" s="121">
        <f t="shared" ref="D14" si="1">SUM($D$2*B14*12)</f>
        <v>0</v>
      </c>
      <c r="E14" s="121">
        <f t="shared" ref="E14" si="2">SUM($E$2*12*B14)</f>
        <v>0</v>
      </c>
      <c r="F14" s="122">
        <f t="shared" ref="F14" si="3">SUM(C14*12)</f>
        <v>0</v>
      </c>
      <c r="G14" s="120">
        <v>132</v>
      </c>
      <c r="I14" s="123" t="s">
        <v>281</v>
      </c>
    </row>
    <row r="15" spans="1:13" x14ac:dyDescent="0.2">
      <c r="A15" t="s">
        <v>224</v>
      </c>
      <c r="B15">
        <v>28</v>
      </c>
      <c r="C15" s="52">
        <f t="shared" ref="C15:C21" si="4">SUM($C$2*B15)</f>
        <v>980</v>
      </c>
      <c r="D15" s="52">
        <f t="shared" ref="D15:D21" si="5">SUM($D$2*B15*12)</f>
        <v>9979.2000000000007</v>
      </c>
      <c r="E15" s="52">
        <f t="shared" ref="E15:E21" si="6">SUM($E$2*12*B15)</f>
        <v>1780.7999999999997</v>
      </c>
      <c r="F15" s="55">
        <f t="shared" ref="F15:F21" si="7">SUM(C15*12)</f>
        <v>11760</v>
      </c>
      <c r="H15" s="124" t="s">
        <v>277</v>
      </c>
      <c r="M15" s="55"/>
    </row>
    <row r="16" spans="1:13" s="120" customFormat="1" x14ac:dyDescent="0.2">
      <c r="A16" s="120" t="s">
        <v>223</v>
      </c>
      <c r="B16" s="120">
        <v>0</v>
      </c>
      <c r="C16" s="121">
        <f t="shared" si="4"/>
        <v>0</v>
      </c>
      <c r="D16" s="121">
        <f t="shared" si="5"/>
        <v>0</v>
      </c>
      <c r="E16" s="121">
        <f t="shared" si="6"/>
        <v>0</v>
      </c>
      <c r="F16" s="122">
        <f t="shared" si="7"/>
        <v>0</v>
      </c>
      <c r="G16" s="120">
        <v>34</v>
      </c>
      <c r="I16" s="123" t="s">
        <v>276</v>
      </c>
    </row>
    <row r="17" spans="1:13" x14ac:dyDescent="0.2">
      <c r="A17" t="s">
        <v>222</v>
      </c>
      <c r="B17">
        <v>35</v>
      </c>
      <c r="C17" s="52">
        <f t="shared" si="4"/>
        <v>1225</v>
      </c>
      <c r="D17" s="52">
        <f t="shared" si="5"/>
        <v>12474</v>
      </c>
      <c r="E17" s="52">
        <f t="shared" si="6"/>
        <v>2226</v>
      </c>
      <c r="F17" s="55">
        <f t="shared" si="7"/>
        <v>14700</v>
      </c>
      <c r="H17" s="124" t="s">
        <v>277</v>
      </c>
      <c r="M17" s="55"/>
    </row>
    <row r="18" spans="1:13" s="120" customFormat="1" x14ac:dyDescent="0.2">
      <c r="A18" s="120" t="s">
        <v>221</v>
      </c>
      <c r="B18" s="120">
        <v>0</v>
      </c>
      <c r="C18" s="121">
        <f t="shared" si="4"/>
        <v>0</v>
      </c>
      <c r="D18" s="121">
        <f t="shared" si="5"/>
        <v>0</v>
      </c>
      <c r="E18" s="121">
        <f t="shared" si="6"/>
        <v>0</v>
      </c>
      <c r="F18" s="122">
        <f t="shared" si="7"/>
        <v>0</v>
      </c>
      <c r="G18" s="120">
        <v>99</v>
      </c>
      <c r="I18" s="123" t="s">
        <v>276</v>
      </c>
    </row>
    <row r="19" spans="1:13" s="120" customFormat="1" x14ac:dyDescent="0.2">
      <c r="A19" s="120" t="s">
        <v>220</v>
      </c>
      <c r="B19" s="120">
        <v>0</v>
      </c>
      <c r="C19" s="121">
        <f t="shared" si="4"/>
        <v>0</v>
      </c>
      <c r="D19" s="121">
        <f t="shared" si="5"/>
        <v>0</v>
      </c>
      <c r="E19" s="121">
        <f t="shared" si="6"/>
        <v>0</v>
      </c>
      <c r="F19" s="122">
        <f t="shared" si="7"/>
        <v>0</v>
      </c>
      <c r="G19" s="120">
        <v>77</v>
      </c>
      <c r="I19" s="123" t="s">
        <v>276</v>
      </c>
    </row>
    <row r="20" spans="1:13" s="120" customFormat="1" ht="12" customHeight="1" x14ac:dyDescent="0.2">
      <c r="A20" s="120" t="s">
        <v>219</v>
      </c>
      <c r="B20" s="120">
        <v>0</v>
      </c>
      <c r="C20" s="121">
        <f t="shared" si="4"/>
        <v>0</v>
      </c>
      <c r="D20" s="121">
        <f t="shared" si="5"/>
        <v>0</v>
      </c>
      <c r="E20" s="121">
        <f t="shared" si="6"/>
        <v>0</v>
      </c>
      <c r="F20" s="122">
        <f t="shared" si="7"/>
        <v>0</v>
      </c>
      <c r="G20" s="120">
        <v>33</v>
      </c>
      <c r="I20" s="123" t="s">
        <v>276</v>
      </c>
    </row>
    <row r="21" spans="1:13" s="120" customFormat="1" x14ac:dyDescent="0.2">
      <c r="A21" s="120" t="s">
        <v>218</v>
      </c>
      <c r="B21" s="120">
        <v>0</v>
      </c>
      <c r="C21" s="121">
        <f t="shared" si="4"/>
        <v>0</v>
      </c>
      <c r="D21" s="121">
        <f t="shared" si="5"/>
        <v>0</v>
      </c>
      <c r="E21" s="121">
        <f t="shared" si="6"/>
        <v>0</v>
      </c>
      <c r="F21" s="122">
        <f t="shared" si="7"/>
        <v>0</v>
      </c>
      <c r="G21" s="120">
        <v>67</v>
      </c>
      <c r="I21" s="123" t="s">
        <v>276</v>
      </c>
    </row>
    <row r="22" spans="1:13" x14ac:dyDescent="0.2">
      <c r="A22" t="s">
        <v>217</v>
      </c>
      <c r="C22" s="52"/>
      <c r="D22" s="52"/>
      <c r="E22" s="52"/>
      <c r="F22" s="55"/>
    </row>
    <row r="23" spans="1:13" x14ac:dyDescent="0.2">
      <c r="A23" t="s">
        <v>216</v>
      </c>
      <c r="B23">
        <v>246</v>
      </c>
      <c r="C23" s="52">
        <f>SUM($C$2*B23)</f>
        <v>8610</v>
      </c>
      <c r="D23" s="52">
        <f>SUM($D$2*B23*12)</f>
        <v>87674.4</v>
      </c>
      <c r="E23" s="52">
        <f>SUM($E$2*12*B23)</f>
        <v>15645.599999999999</v>
      </c>
      <c r="F23" s="55">
        <f>SUM(C23*12)</f>
        <v>103320</v>
      </c>
      <c r="H23" s="124" t="s">
        <v>277</v>
      </c>
      <c r="I23" s="124"/>
    </row>
    <row r="24" spans="1:13" x14ac:dyDescent="0.2">
      <c r="A24" s="1" t="s">
        <v>215</v>
      </c>
      <c r="B24" s="1">
        <f>SUM(B5:B23)</f>
        <v>413</v>
      </c>
      <c r="C24" s="53">
        <f>SUM(C5:C23)</f>
        <v>14455</v>
      </c>
      <c r="D24" s="53">
        <f>SUM(D5:D23)</f>
        <v>147193.20000000001</v>
      </c>
      <c r="E24" s="53">
        <f>SUM(E5:E23)</f>
        <v>26266.799999999996</v>
      </c>
      <c r="F24" s="57">
        <f>SUM(C24*12)</f>
        <v>173460</v>
      </c>
      <c r="G24" s="1">
        <f>SUM(G7:G23)</f>
        <v>718</v>
      </c>
      <c r="M24" s="55"/>
    </row>
    <row r="25" spans="1:13" x14ac:dyDescent="0.2">
      <c r="A25" s="1"/>
      <c r="B25" s="1"/>
      <c r="C25" s="53"/>
      <c r="D25" s="53"/>
      <c r="E25" s="53"/>
      <c r="F25" s="57"/>
    </row>
    <row r="26" spans="1:13" x14ac:dyDescent="0.2">
      <c r="A26" s="1"/>
      <c r="B26" s="1"/>
      <c r="C26" s="52">
        <f>ROUND((+' Income 2020'!C26)*(1+' Income 2021'!I26),2)</f>
        <v>60.57</v>
      </c>
      <c r="D26" s="54">
        <f>+C26-E26</f>
        <v>55.27</v>
      </c>
      <c r="E26" s="54">
        <f>+E2</f>
        <v>5.3</v>
      </c>
      <c r="F26" s="59"/>
      <c r="I26" s="112">
        <v>0.03</v>
      </c>
      <c r="J26" s="30" t="s">
        <v>266</v>
      </c>
    </row>
    <row r="27" spans="1:13" x14ac:dyDescent="0.2">
      <c r="A27" s="2" t="s">
        <v>214</v>
      </c>
      <c r="B27" s="2" t="s">
        <v>213</v>
      </c>
      <c r="C27" s="58" t="s">
        <v>212</v>
      </c>
      <c r="D27" s="58" t="s">
        <v>211</v>
      </c>
      <c r="E27" s="58" t="s">
        <v>210</v>
      </c>
      <c r="F27" s="58" t="s">
        <v>209</v>
      </c>
    </row>
    <row r="28" spans="1:13" x14ac:dyDescent="0.2">
      <c r="A28" s="2" t="s">
        <v>208</v>
      </c>
      <c r="B28" s="2" t="s">
        <v>207</v>
      </c>
      <c r="C28" s="58" t="s">
        <v>206</v>
      </c>
      <c r="D28" s="58" t="s">
        <v>205</v>
      </c>
      <c r="E28" s="58" t="s">
        <v>204</v>
      </c>
      <c r="F28" s="2" t="s">
        <v>203</v>
      </c>
    </row>
    <row r="29" spans="1:13" x14ac:dyDescent="0.2">
      <c r="A29" t="s">
        <v>202</v>
      </c>
      <c r="B29">
        <v>165</v>
      </c>
      <c r="C29" s="52">
        <f t="shared" ref="C29:C65" si="8">SUM($C$26*B29)</f>
        <v>9994.0499999999993</v>
      </c>
      <c r="D29" s="52">
        <f t="shared" ref="D29:D65" si="9">SUM($D$26*B29*12)</f>
        <v>109434.6</v>
      </c>
      <c r="E29" s="52">
        <f t="shared" ref="E29:E65" si="10">SUM($E$26*B29*12)</f>
        <v>10494</v>
      </c>
      <c r="F29" s="55">
        <f t="shared" ref="F29:F65" si="11">SUM(C29*12)</f>
        <v>119928.59999999999</v>
      </c>
    </row>
    <row r="30" spans="1:13" x14ac:dyDescent="0.2">
      <c r="A30" t="s">
        <v>201</v>
      </c>
      <c r="B30">
        <v>3</v>
      </c>
      <c r="C30" s="52">
        <f t="shared" si="8"/>
        <v>181.71</v>
      </c>
      <c r="D30" s="52">
        <f t="shared" si="9"/>
        <v>1989.72</v>
      </c>
      <c r="E30" s="52">
        <f t="shared" si="10"/>
        <v>190.79999999999998</v>
      </c>
      <c r="F30" s="55">
        <f t="shared" si="11"/>
        <v>2180.52</v>
      </c>
    </row>
    <row r="31" spans="1:13" x14ac:dyDescent="0.2">
      <c r="A31" t="s">
        <v>250</v>
      </c>
      <c r="B31">
        <v>12</v>
      </c>
      <c r="C31" s="52">
        <f t="shared" si="8"/>
        <v>726.84</v>
      </c>
      <c r="D31" s="52">
        <f t="shared" si="9"/>
        <v>7958.88</v>
      </c>
      <c r="E31" s="52">
        <f t="shared" si="10"/>
        <v>763.19999999999993</v>
      </c>
      <c r="F31" s="55">
        <f t="shared" si="11"/>
        <v>8722.08</v>
      </c>
    </row>
    <row r="32" spans="1:13" x14ac:dyDescent="0.2">
      <c r="A32" t="s">
        <v>200</v>
      </c>
      <c r="B32">
        <v>50</v>
      </c>
      <c r="C32" s="52">
        <f t="shared" si="8"/>
        <v>3028.5</v>
      </c>
      <c r="D32" s="52">
        <f t="shared" si="9"/>
        <v>33162</v>
      </c>
      <c r="E32" s="52">
        <f t="shared" si="10"/>
        <v>3180</v>
      </c>
      <c r="F32" s="55">
        <f t="shared" si="11"/>
        <v>36342</v>
      </c>
    </row>
    <row r="33" spans="1:6" x14ac:dyDescent="0.2">
      <c r="A33" t="s">
        <v>199</v>
      </c>
      <c r="B33">
        <v>122</v>
      </c>
      <c r="C33" s="52">
        <f t="shared" si="8"/>
        <v>7389.54</v>
      </c>
      <c r="D33" s="52">
        <f t="shared" si="9"/>
        <v>80915.28</v>
      </c>
      <c r="E33" s="52">
        <f t="shared" si="10"/>
        <v>7759.2000000000007</v>
      </c>
      <c r="F33" s="55">
        <f t="shared" si="11"/>
        <v>88674.48</v>
      </c>
    </row>
    <row r="34" spans="1:6" x14ac:dyDescent="0.2">
      <c r="A34" t="s">
        <v>198</v>
      </c>
      <c r="B34">
        <v>157</v>
      </c>
      <c r="C34" s="52">
        <f t="shared" si="8"/>
        <v>9509.49</v>
      </c>
      <c r="D34" s="52">
        <f t="shared" si="9"/>
        <v>104128.68000000002</v>
      </c>
      <c r="E34" s="52">
        <f t="shared" si="10"/>
        <v>9985.2000000000007</v>
      </c>
      <c r="F34" s="55">
        <f t="shared" si="11"/>
        <v>114113.88</v>
      </c>
    </row>
    <row r="35" spans="1:6" x14ac:dyDescent="0.2">
      <c r="A35" t="s">
        <v>197</v>
      </c>
      <c r="B35">
        <v>49</v>
      </c>
      <c r="C35" s="52">
        <f t="shared" si="8"/>
        <v>2967.93</v>
      </c>
      <c r="D35" s="52">
        <f t="shared" si="9"/>
        <v>32498.760000000002</v>
      </c>
      <c r="E35" s="52">
        <f t="shared" si="10"/>
        <v>3116.3999999999996</v>
      </c>
      <c r="F35" s="55">
        <f t="shared" si="11"/>
        <v>35615.159999999996</v>
      </c>
    </row>
    <row r="36" spans="1:6" x14ac:dyDescent="0.2">
      <c r="A36" t="s">
        <v>196</v>
      </c>
      <c r="B36">
        <v>32</v>
      </c>
      <c r="C36" s="52">
        <f t="shared" si="8"/>
        <v>1938.24</v>
      </c>
      <c r="D36" s="52">
        <f t="shared" si="9"/>
        <v>21223.68</v>
      </c>
      <c r="E36" s="52">
        <f t="shared" si="10"/>
        <v>2035.1999999999998</v>
      </c>
      <c r="F36" s="55">
        <f t="shared" si="11"/>
        <v>23258.880000000001</v>
      </c>
    </row>
    <row r="37" spans="1:6" x14ac:dyDescent="0.2">
      <c r="A37" t="s">
        <v>195</v>
      </c>
      <c r="B37">
        <v>24</v>
      </c>
      <c r="C37" s="52">
        <f t="shared" si="8"/>
        <v>1453.68</v>
      </c>
      <c r="D37" s="52">
        <f t="shared" si="9"/>
        <v>15917.76</v>
      </c>
      <c r="E37" s="52">
        <f t="shared" si="10"/>
        <v>1526.3999999999999</v>
      </c>
      <c r="F37" s="55">
        <f t="shared" si="11"/>
        <v>17444.16</v>
      </c>
    </row>
    <row r="38" spans="1:6" x14ac:dyDescent="0.2">
      <c r="A38" t="s">
        <v>194</v>
      </c>
      <c r="B38">
        <v>34</v>
      </c>
      <c r="C38" s="52">
        <f t="shared" si="8"/>
        <v>2059.38</v>
      </c>
      <c r="D38" s="52">
        <f t="shared" si="9"/>
        <v>22550.16</v>
      </c>
      <c r="E38" s="52">
        <f t="shared" si="10"/>
        <v>2162.3999999999996</v>
      </c>
      <c r="F38" s="55">
        <f t="shared" si="11"/>
        <v>24712.560000000001</v>
      </c>
    </row>
    <row r="39" spans="1:6" x14ac:dyDescent="0.2">
      <c r="A39" t="s">
        <v>193</v>
      </c>
      <c r="B39">
        <v>22</v>
      </c>
      <c r="C39" s="52">
        <f t="shared" si="8"/>
        <v>1332.54</v>
      </c>
      <c r="D39" s="52">
        <f t="shared" si="9"/>
        <v>14591.28</v>
      </c>
      <c r="E39" s="52">
        <f t="shared" si="10"/>
        <v>1399.1999999999998</v>
      </c>
      <c r="F39" s="55">
        <f t="shared" si="11"/>
        <v>15990.48</v>
      </c>
    </row>
    <row r="40" spans="1:6" x14ac:dyDescent="0.2">
      <c r="A40" t="s">
        <v>192</v>
      </c>
      <c r="B40">
        <v>42</v>
      </c>
      <c r="C40" s="52">
        <f t="shared" si="8"/>
        <v>2543.94</v>
      </c>
      <c r="D40" s="52">
        <f t="shared" si="9"/>
        <v>27856.080000000002</v>
      </c>
      <c r="E40" s="52">
        <f t="shared" si="10"/>
        <v>2671.2</v>
      </c>
      <c r="F40" s="55">
        <f t="shared" si="11"/>
        <v>30527.279999999999</v>
      </c>
    </row>
    <row r="41" spans="1:6" x14ac:dyDescent="0.2">
      <c r="A41" t="s">
        <v>191</v>
      </c>
      <c r="B41">
        <v>111</v>
      </c>
      <c r="C41" s="52">
        <f t="shared" si="8"/>
        <v>6723.27</v>
      </c>
      <c r="D41" s="52">
        <f t="shared" si="9"/>
        <v>73619.64</v>
      </c>
      <c r="E41" s="52">
        <f t="shared" si="10"/>
        <v>7059.5999999999995</v>
      </c>
      <c r="F41" s="55">
        <f t="shared" si="11"/>
        <v>80679.240000000005</v>
      </c>
    </row>
    <row r="42" spans="1:6" x14ac:dyDescent="0.2">
      <c r="A42" t="s">
        <v>190</v>
      </c>
      <c r="B42">
        <v>42</v>
      </c>
      <c r="C42" s="52">
        <f t="shared" si="8"/>
        <v>2543.94</v>
      </c>
      <c r="D42" s="52">
        <f t="shared" si="9"/>
        <v>27856.080000000002</v>
      </c>
      <c r="E42" s="52">
        <f t="shared" si="10"/>
        <v>2671.2</v>
      </c>
      <c r="F42" s="55">
        <f t="shared" si="11"/>
        <v>30527.279999999999</v>
      </c>
    </row>
    <row r="43" spans="1:6" x14ac:dyDescent="0.2">
      <c r="A43" t="s">
        <v>189</v>
      </c>
      <c r="B43">
        <v>64</v>
      </c>
      <c r="C43" s="52">
        <f t="shared" si="8"/>
        <v>3876.48</v>
      </c>
      <c r="D43" s="52">
        <f t="shared" si="9"/>
        <v>42447.360000000001</v>
      </c>
      <c r="E43" s="52">
        <f t="shared" si="10"/>
        <v>4070.3999999999996</v>
      </c>
      <c r="F43" s="55">
        <f t="shared" si="11"/>
        <v>46517.760000000002</v>
      </c>
    </row>
    <row r="44" spans="1:6" x14ac:dyDescent="0.2">
      <c r="A44" t="s">
        <v>188</v>
      </c>
      <c r="B44">
        <v>4</v>
      </c>
      <c r="C44" s="52">
        <f t="shared" si="8"/>
        <v>242.28</v>
      </c>
      <c r="D44" s="52">
        <f t="shared" si="9"/>
        <v>2652.96</v>
      </c>
      <c r="E44" s="52">
        <f t="shared" si="10"/>
        <v>254.39999999999998</v>
      </c>
      <c r="F44" s="55">
        <f t="shared" si="11"/>
        <v>2907.36</v>
      </c>
    </row>
    <row r="45" spans="1:6" x14ac:dyDescent="0.2">
      <c r="A45" t="s">
        <v>187</v>
      </c>
      <c r="B45">
        <v>28</v>
      </c>
      <c r="C45" s="52">
        <f t="shared" si="8"/>
        <v>1695.96</v>
      </c>
      <c r="D45" s="52">
        <f t="shared" si="9"/>
        <v>18570.72</v>
      </c>
      <c r="E45" s="52">
        <f t="shared" si="10"/>
        <v>1780.8000000000002</v>
      </c>
      <c r="F45" s="55">
        <f t="shared" si="11"/>
        <v>20351.52</v>
      </c>
    </row>
    <row r="46" spans="1:6" x14ac:dyDescent="0.2">
      <c r="A46" t="s">
        <v>186</v>
      </c>
      <c r="B46">
        <v>9</v>
      </c>
      <c r="C46" s="52">
        <f t="shared" si="8"/>
        <v>545.13</v>
      </c>
      <c r="D46" s="52">
        <f t="shared" si="9"/>
        <v>5969.16</v>
      </c>
      <c r="E46" s="52">
        <f t="shared" si="10"/>
        <v>572.4</v>
      </c>
      <c r="F46" s="55">
        <f t="shared" si="11"/>
        <v>6541.5599999999995</v>
      </c>
    </row>
    <row r="47" spans="1:6" x14ac:dyDescent="0.2">
      <c r="A47" t="s">
        <v>185</v>
      </c>
      <c r="B47">
        <v>140</v>
      </c>
      <c r="C47" s="52">
        <f t="shared" si="8"/>
        <v>8479.7999999999993</v>
      </c>
      <c r="D47" s="52">
        <f t="shared" si="9"/>
        <v>92853.6</v>
      </c>
      <c r="E47" s="52">
        <f t="shared" si="10"/>
        <v>8904</v>
      </c>
      <c r="F47" s="55">
        <f t="shared" si="11"/>
        <v>101757.59999999999</v>
      </c>
    </row>
    <row r="48" spans="1:6" x14ac:dyDescent="0.2">
      <c r="A48" t="s">
        <v>184</v>
      </c>
      <c r="B48">
        <v>55</v>
      </c>
      <c r="C48" s="52">
        <f t="shared" si="8"/>
        <v>3331.35</v>
      </c>
      <c r="D48" s="52">
        <f t="shared" si="9"/>
        <v>36478.200000000004</v>
      </c>
      <c r="E48" s="52">
        <f t="shared" si="10"/>
        <v>3498</v>
      </c>
      <c r="F48" s="55">
        <f t="shared" si="11"/>
        <v>39976.199999999997</v>
      </c>
    </row>
    <row r="49" spans="1:6" x14ac:dyDescent="0.2">
      <c r="A49" t="s">
        <v>183</v>
      </c>
      <c r="B49">
        <v>72</v>
      </c>
      <c r="C49" s="52">
        <f t="shared" si="8"/>
        <v>4361.04</v>
      </c>
      <c r="D49" s="52">
        <f t="shared" si="9"/>
        <v>47753.279999999999</v>
      </c>
      <c r="E49" s="52">
        <f t="shared" si="10"/>
        <v>4579.2</v>
      </c>
      <c r="F49" s="55">
        <f t="shared" si="11"/>
        <v>52332.479999999996</v>
      </c>
    </row>
    <row r="50" spans="1:6" x14ac:dyDescent="0.2">
      <c r="A50" t="s">
        <v>182</v>
      </c>
      <c r="B50">
        <v>45</v>
      </c>
      <c r="C50" s="52">
        <f t="shared" si="8"/>
        <v>2725.65</v>
      </c>
      <c r="D50" s="52">
        <f t="shared" si="9"/>
        <v>29845.800000000003</v>
      </c>
      <c r="E50" s="52">
        <f t="shared" si="10"/>
        <v>2862</v>
      </c>
      <c r="F50" s="55">
        <f t="shared" si="11"/>
        <v>32707.800000000003</v>
      </c>
    </row>
    <row r="51" spans="1:6" x14ac:dyDescent="0.2">
      <c r="A51" t="s">
        <v>181</v>
      </c>
      <c r="B51">
        <v>28</v>
      </c>
      <c r="C51" s="52">
        <f t="shared" si="8"/>
        <v>1695.96</v>
      </c>
      <c r="D51" s="52">
        <f t="shared" si="9"/>
        <v>18570.72</v>
      </c>
      <c r="E51" s="52">
        <f t="shared" si="10"/>
        <v>1780.8000000000002</v>
      </c>
      <c r="F51" s="55">
        <f t="shared" si="11"/>
        <v>20351.52</v>
      </c>
    </row>
    <row r="52" spans="1:6" x14ac:dyDescent="0.2">
      <c r="A52" t="s">
        <v>180</v>
      </c>
      <c r="B52">
        <v>66</v>
      </c>
      <c r="C52" s="52">
        <f t="shared" si="8"/>
        <v>3997.62</v>
      </c>
      <c r="D52" s="52">
        <f t="shared" si="9"/>
        <v>43773.840000000004</v>
      </c>
      <c r="E52" s="52">
        <f t="shared" si="10"/>
        <v>4197.6000000000004</v>
      </c>
      <c r="F52" s="55">
        <f t="shared" si="11"/>
        <v>47971.44</v>
      </c>
    </row>
    <row r="53" spans="1:6" x14ac:dyDescent="0.2">
      <c r="A53" t="s">
        <v>179</v>
      </c>
      <c r="B53">
        <v>15</v>
      </c>
      <c r="C53" s="52">
        <f t="shared" si="8"/>
        <v>908.55</v>
      </c>
      <c r="D53" s="52">
        <f t="shared" si="9"/>
        <v>9948.6</v>
      </c>
      <c r="E53" s="52">
        <f t="shared" si="10"/>
        <v>954</v>
      </c>
      <c r="F53" s="55">
        <f t="shared" si="11"/>
        <v>10902.599999999999</v>
      </c>
    </row>
    <row r="54" spans="1:6" x14ac:dyDescent="0.2">
      <c r="A54" t="s">
        <v>178</v>
      </c>
      <c r="B54">
        <v>59</v>
      </c>
      <c r="C54" s="52">
        <f t="shared" si="8"/>
        <v>3573.63</v>
      </c>
      <c r="D54" s="52">
        <f t="shared" si="9"/>
        <v>39131.160000000003</v>
      </c>
      <c r="E54" s="52">
        <f t="shared" si="10"/>
        <v>3752.3999999999996</v>
      </c>
      <c r="F54" s="55">
        <f t="shared" si="11"/>
        <v>42883.56</v>
      </c>
    </row>
    <row r="55" spans="1:6" x14ac:dyDescent="0.2">
      <c r="A55" t="s">
        <v>177</v>
      </c>
      <c r="B55">
        <v>86</v>
      </c>
      <c r="C55" s="52">
        <f t="shared" si="8"/>
        <v>5209.0200000000004</v>
      </c>
      <c r="D55" s="52">
        <f t="shared" si="9"/>
        <v>57038.64</v>
      </c>
      <c r="E55" s="52">
        <f t="shared" si="10"/>
        <v>5469.6</v>
      </c>
      <c r="F55" s="55">
        <f t="shared" si="11"/>
        <v>62508.240000000005</v>
      </c>
    </row>
    <row r="56" spans="1:6" x14ac:dyDescent="0.2">
      <c r="A56" t="s">
        <v>176</v>
      </c>
      <c r="B56">
        <v>65</v>
      </c>
      <c r="C56" s="52">
        <f t="shared" si="8"/>
        <v>3937.05</v>
      </c>
      <c r="D56" s="52">
        <f t="shared" si="9"/>
        <v>43110.600000000006</v>
      </c>
      <c r="E56" s="52">
        <f t="shared" si="10"/>
        <v>4134</v>
      </c>
      <c r="F56" s="55">
        <f t="shared" si="11"/>
        <v>47244.600000000006</v>
      </c>
    </row>
    <row r="57" spans="1:6" x14ac:dyDescent="0.2">
      <c r="A57" t="s">
        <v>175</v>
      </c>
      <c r="B57">
        <v>43</v>
      </c>
      <c r="C57" s="52">
        <f t="shared" si="8"/>
        <v>2604.5100000000002</v>
      </c>
      <c r="D57" s="52">
        <f t="shared" si="9"/>
        <v>28519.32</v>
      </c>
      <c r="E57" s="52">
        <f t="shared" si="10"/>
        <v>2734.8</v>
      </c>
      <c r="F57" s="55">
        <f t="shared" si="11"/>
        <v>31254.120000000003</v>
      </c>
    </row>
    <row r="58" spans="1:6" x14ac:dyDescent="0.2">
      <c r="A58" t="s">
        <v>174</v>
      </c>
      <c r="B58">
        <v>204</v>
      </c>
      <c r="C58" s="52">
        <f t="shared" si="8"/>
        <v>12356.28</v>
      </c>
      <c r="D58" s="52">
        <f t="shared" si="9"/>
        <v>135300.96</v>
      </c>
      <c r="E58" s="52">
        <f t="shared" si="10"/>
        <v>12974.400000000001</v>
      </c>
      <c r="F58" s="55">
        <f t="shared" si="11"/>
        <v>148275.36000000002</v>
      </c>
    </row>
    <row r="59" spans="1:6" x14ac:dyDescent="0.2">
      <c r="A59" t="s">
        <v>173</v>
      </c>
      <c r="B59">
        <v>42</v>
      </c>
      <c r="C59" s="52">
        <f t="shared" si="8"/>
        <v>2543.94</v>
      </c>
      <c r="D59" s="52">
        <f t="shared" si="9"/>
        <v>27856.080000000002</v>
      </c>
      <c r="E59" s="52">
        <f t="shared" si="10"/>
        <v>2671.2</v>
      </c>
      <c r="F59" s="55">
        <f t="shared" si="11"/>
        <v>30527.279999999999</v>
      </c>
    </row>
    <row r="60" spans="1:6" x14ac:dyDescent="0.2">
      <c r="A60" t="s">
        <v>172</v>
      </c>
      <c r="B60">
        <v>87</v>
      </c>
      <c r="C60" s="52">
        <f t="shared" si="8"/>
        <v>5269.59</v>
      </c>
      <c r="D60" s="52">
        <f t="shared" si="9"/>
        <v>57701.880000000005</v>
      </c>
      <c r="E60" s="52">
        <f t="shared" si="10"/>
        <v>5533.2</v>
      </c>
      <c r="F60" s="55">
        <f t="shared" si="11"/>
        <v>63235.08</v>
      </c>
    </row>
    <row r="61" spans="1:6" x14ac:dyDescent="0.2">
      <c r="A61" t="s">
        <v>171</v>
      </c>
      <c r="B61">
        <v>102</v>
      </c>
      <c r="C61" s="52">
        <f t="shared" si="8"/>
        <v>6178.14</v>
      </c>
      <c r="D61" s="52">
        <f t="shared" si="9"/>
        <v>67650.48</v>
      </c>
      <c r="E61" s="52">
        <f t="shared" si="10"/>
        <v>6487.2000000000007</v>
      </c>
      <c r="F61" s="55">
        <f t="shared" si="11"/>
        <v>74137.680000000008</v>
      </c>
    </row>
    <row r="62" spans="1:6" x14ac:dyDescent="0.2">
      <c r="A62" t="s">
        <v>170</v>
      </c>
      <c r="B62">
        <v>3</v>
      </c>
      <c r="C62" s="52">
        <f t="shared" si="8"/>
        <v>181.71</v>
      </c>
      <c r="D62" s="52">
        <f t="shared" si="9"/>
        <v>1989.72</v>
      </c>
      <c r="E62" s="52">
        <f t="shared" si="10"/>
        <v>190.79999999999998</v>
      </c>
      <c r="F62" s="55">
        <f t="shared" si="11"/>
        <v>2180.52</v>
      </c>
    </row>
    <row r="63" spans="1:6" x14ac:dyDescent="0.2">
      <c r="A63" t="s">
        <v>169</v>
      </c>
      <c r="B63">
        <v>3</v>
      </c>
      <c r="C63" s="52">
        <f t="shared" si="8"/>
        <v>181.71</v>
      </c>
      <c r="D63" s="52">
        <f t="shared" si="9"/>
        <v>1989.72</v>
      </c>
      <c r="E63" s="52">
        <f t="shared" si="10"/>
        <v>190.79999999999998</v>
      </c>
      <c r="F63" s="55">
        <f t="shared" si="11"/>
        <v>2180.52</v>
      </c>
    </row>
    <row r="64" spans="1:6" x14ac:dyDescent="0.2">
      <c r="A64" t="s">
        <v>168</v>
      </c>
      <c r="B64">
        <v>3</v>
      </c>
      <c r="C64" s="52">
        <f t="shared" si="8"/>
        <v>181.71</v>
      </c>
      <c r="D64" s="52">
        <f t="shared" si="9"/>
        <v>1989.72</v>
      </c>
      <c r="E64" s="52">
        <f t="shared" si="10"/>
        <v>190.79999999999998</v>
      </c>
      <c r="F64" s="55">
        <f t="shared" si="11"/>
        <v>2180.52</v>
      </c>
    </row>
    <row r="65" spans="1:6" x14ac:dyDescent="0.2">
      <c r="A65" t="s">
        <v>167</v>
      </c>
      <c r="B65">
        <v>1</v>
      </c>
      <c r="C65" s="52">
        <f t="shared" si="8"/>
        <v>60.57</v>
      </c>
      <c r="D65" s="52">
        <f t="shared" si="9"/>
        <v>663.24</v>
      </c>
      <c r="E65" s="52">
        <f t="shared" si="10"/>
        <v>63.599999999999994</v>
      </c>
      <c r="F65" s="55">
        <f t="shared" si="11"/>
        <v>726.84</v>
      </c>
    </row>
    <row r="66" spans="1:6" x14ac:dyDescent="0.2">
      <c r="A66" s="1" t="s">
        <v>166</v>
      </c>
      <c r="B66" s="1">
        <f>SUM(B29:B65)</f>
        <v>2089</v>
      </c>
      <c r="C66" s="53">
        <f>SUM(C29:C65)</f>
        <v>126530.73000000003</v>
      </c>
      <c r="D66" s="53">
        <f>SUM(D29:D65)</f>
        <v>1385508.3599999999</v>
      </c>
      <c r="E66" s="53">
        <f>SUM(E29:E65)</f>
        <v>132860.4</v>
      </c>
      <c r="F66" s="57">
        <f>SUM(F29:F65)</f>
        <v>1518368.7600000005</v>
      </c>
    </row>
    <row r="67" spans="1:6" x14ac:dyDescent="0.2">
      <c r="A67" s="1"/>
      <c r="B67" s="1"/>
      <c r="C67" s="53"/>
      <c r="D67" s="53"/>
      <c r="E67" s="53"/>
      <c r="F67" s="57"/>
    </row>
    <row r="68" spans="1:6" x14ac:dyDescent="0.2">
      <c r="A68" s="1" t="s">
        <v>165</v>
      </c>
      <c r="B68" s="1">
        <f>SUM(B24+B66)</f>
        <v>2502</v>
      </c>
      <c r="C68" s="53">
        <f>SUM(C24+C66)</f>
        <v>140985.73000000004</v>
      </c>
      <c r="D68" s="53">
        <f>SUM(D24+D66)</f>
        <v>1532701.5599999998</v>
      </c>
      <c r="E68" s="53">
        <f>SUM(E24+E66)</f>
        <v>159127.19999999998</v>
      </c>
      <c r="F68" s="53">
        <f>SUM(F24+F66)</f>
        <v>1691828.7600000005</v>
      </c>
    </row>
    <row r="69" spans="1:6" x14ac:dyDescent="0.2">
      <c r="A69" s="1"/>
      <c r="B69" s="1"/>
      <c r="C69" s="53"/>
      <c r="D69" s="53"/>
      <c r="E69" s="53"/>
      <c r="F69" s="1"/>
    </row>
    <row r="70" spans="1:6" x14ac:dyDescent="0.2">
      <c r="A70" s="1" t="s">
        <v>164</v>
      </c>
      <c r="B70" s="1"/>
      <c r="C70" s="53"/>
      <c r="D70" s="53"/>
      <c r="E70" s="53"/>
      <c r="F70" s="1"/>
    </row>
    <row r="71" spans="1:6" x14ac:dyDescent="0.2">
      <c r="A71" s="30" t="s">
        <v>163</v>
      </c>
      <c r="B71" s="1"/>
      <c r="C71" s="53"/>
      <c r="D71" s="53"/>
      <c r="E71" s="53"/>
      <c r="F71" s="53">
        <f>+'income &amp; expenses'!R10</f>
        <v>12000</v>
      </c>
    </row>
    <row r="72" spans="1:6" x14ac:dyDescent="0.2">
      <c r="A72" t="s">
        <v>162</v>
      </c>
      <c r="B72">
        <v>1</v>
      </c>
      <c r="C72" s="53"/>
      <c r="D72" s="52"/>
      <c r="E72" s="52"/>
      <c r="F72" s="53">
        <f>+'income &amp; expenses'!R13</f>
        <v>25218.848212322198</v>
      </c>
    </row>
    <row r="73" spans="1:6" x14ac:dyDescent="0.2">
      <c r="A73" s="30" t="s">
        <v>161</v>
      </c>
      <c r="B73" s="30">
        <v>1</v>
      </c>
      <c r="C73" s="53"/>
      <c r="D73" s="53"/>
      <c r="E73" s="53"/>
      <c r="F73" s="53">
        <f>+'income &amp; expenses'!R12</f>
        <v>90021</v>
      </c>
    </row>
    <row r="74" spans="1:6" x14ac:dyDescent="0.2">
      <c r="A74" s="1" t="s">
        <v>160</v>
      </c>
      <c r="B74" s="1"/>
      <c r="C74" s="53"/>
      <c r="D74" s="53"/>
      <c r="E74" s="53"/>
      <c r="F74" s="57">
        <f>SUM(F68:F73)-E68</f>
        <v>1659941.4082123227</v>
      </c>
    </row>
    <row r="75" spans="1:6" x14ac:dyDescent="0.2">
      <c r="A75" s="56" t="s">
        <v>159</v>
      </c>
      <c r="C75" s="52"/>
      <c r="D75" s="52"/>
      <c r="E75" s="52"/>
      <c r="F75" s="52">
        <f>+'income &amp; expenses'!R62</f>
        <v>1739691.3277269504</v>
      </c>
    </row>
    <row r="76" spans="1:6" x14ac:dyDescent="0.2">
      <c r="A76" s="30" t="s">
        <v>158</v>
      </c>
      <c r="C76" s="52"/>
      <c r="D76" s="52"/>
      <c r="E76" s="52"/>
      <c r="F76" s="55">
        <f>SUM(F74-F75)</f>
        <v>-79749.919514627662</v>
      </c>
    </row>
  </sheetData>
  <sheetProtection algorithmName="SHA-512" hashValue="MES52BTppSk0BBlFDNZ82uSoCZCezbjtCANVasbNadnKSt0CUKPTMd0Gldw+H6tSuNWo8lf/rIL5onnxzMNuDw==" saltValue="qwqh+0bDjQaQqqqMipiGUQ==" spinCount="100000" sheet="1" objects="1" scenarios="1"/>
  <pageMargins left="0.7" right="0.7" top="0.75" bottom="0.75" header="0.3" footer="0.3"/>
  <pageSetup scale="57" orientation="portrait" r:id="rId1"/>
  <headerFooter>
    <oddHeader>&amp;C&amp;A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assessment</vt:lpstr>
      <vt:lpstr>income &amp; expenses</vt:lpstr>
      <vt:lpstr>considerations</vt:lpstr>
      <vt:lpstr> Income 2016</vt:lpstr>
      <vt:lpstr> Income 2017</vt:lpstr>
      <vt:lpstr> Income 2018</vt:lpstr>
      <vt:lpstr> Income 2019</vt:lpstr>
      <vt:lpstr> Income 2020</vt:lpstr>
      <vt:lpstr> Income 2021</vt:lpstr>
      <vt:lpstr>Reserve</vt:lpstr>
      <vt:lpstr>Usage fee</vt:lpstr>
      <vt:lpstr>mgmt fee breakdown</vt:lpstr>
      <vt:lpstr>'income &amp; expenses'!Print_Area</vt:lpstr>
      <vt:lpstr>'income &amp; expenses'!Print_Titles</vt:lpstr>
    </vt:vector>
  </TitlesOfParts>
  <Company>Management &amp; Associates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Bernadette P.  Massaro</dc:creator>
  <cp:lastModifiedBy>JHP</cp:lastModifiedBy>
  <cp:lastPrinted>2017-02-13T21:11:09Z</cp:lastPrinted>
  <dcterms:created xsi:type="dcterms:W3CDTF">2000-05-25T13:07:56Z</dcterms:created>
  <dcterms:modified xsi:type="dcterms:W3CDTF">2017-02-14T16:38:38Z</dcterms:modified>
</cp:coreProperties>
</file>